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iht-fs01.idbhostingtbi.lan\datahev$\DigiOfficeDocumenten\Projecten\1643801\1\2019\"/>
    </mc:Choice>
  </mc:AlternateContent>
  <xr:revisionPtr revIDLastSave="0" documentId="13_ncr:1_{FF4A2C59-C3B3-4975-A981-7715F0600CEA}" xr6:coauthVersionLast="36" xr6:coauthVersionMax="36" xr10:uidLastSave="{00000000-0000-0000-0000-000000000000}"/>
  <bookViews>
    <workbookView xWindow="360" yWindow="156" windowWidth="10512" windowHeight="8508" activeTab="4" xr2:uid="{00000000-000D-0000-FFFF-FFFF00000000}"/>
  </bookViews>
  <sheets>
    <sheet name="Startseite" sheetId="28" r:id="rId1"/>
    <sheet name="Eingabeblatt 1" sheetId="26" r:id="rId2"/>
    <sheet name="Eingabeblatt 2" sheetId="27" r:id="rId3"/>
    <sheet name="Ergebnis" sheetId="10" r:id="rId4"/>
    <sheet name="Zusammenfassung Ergebnis" sheetId="29" r:id="rId5"/>
  </sheets>
  <definedNames>
    <definedName name="_xlnm.Print_Area" localSheetId="1">'Eingabeblatt 1'!$B$1:$N$82</definedName>
    <definedName name="_xlnm.Print_Area" localSheetId="2">'Eingabeblatt 2'!$B$1:$V$55</definedName>
    <definedName name="_xlnm.Print_Area" localSheetId="3">Ergebnis!$B$1:$O$139</definedName>
    <definedName name="_xlnm.Print_Area" localSheetId="0">Startseite!$B:$N</definedName>
    <definedName name="_xlnm.Print_Area" localSheetId="4">'Zusammenfassung Ergebnis'!$B$1:$P$66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4" i="29" l="1"/>
  <c r="O4" i="10"/>
  <c r="R4" i="27"/>
  <c r="N4" i="26"/>
  <c r="AH31" i="27" l="1"/>
  <c r="AG31" i="27"/>
  <c r="AH24" i="27"/>
  <c r="AG24" i="27"/>
  <c r="AF24" i="27"/>
  <c r="AF18" i="27"/>
  <c r="AF17" i="27"/>
  <c r="AG18" i="27"/>
  <c r="AG17" i="27"/>
  <c r="AH18" i="27"/>
  <c r="AH17" i="27"/>
  <c r="U14" i="27" l="1"/>
  <c r="AO70" i="29" l="1"/>
  <c r="I11" i="29" l="1"/>
  <c r="F11" i="29"/>
  <c r="I8" i="29"/>
  <c r="F8" i="29"/>
  <c r="K118" i="29"/>
  <c r="K119" i="29" s="1"/>
  <c r="K120" i="29" s="1"/>
  <c r="K121" i="29" s="1"/>
  <c r="K122" i="29" s="1"/>
  <c r="K123" i="29" s="1"/>
  <c r="K124" i="29" s="1"/>
  <c r="K125" i="29" s="1"/>
  <c r="K126" i="29" s="1"/>
  <c r="K127" i="29" s="1"/>
  <c r="K128" i="29" s="1"/>
  <c r="K129" i="29" s="1"/>
  <c r="K130" i="29" s="1"/>
  <c r="K131" i="29" s="1"/>
  <c r="K132" i="29" s="1"/>
  <c r="K133" i="29" s="1"/>
  <c r="K134" i="29" s="1"/>
  <c r="K135" i="29" s="1"/>
  <c r="K136" i="29" s="1"/>
  <c r="K137" i="29" s="1"/>
  <c r="K138" i="29" s="1"/>
  <c r="K139" i="29" s="1"/>
  <c r="K140" i="29" s="1"/>
  <c r="K141" i="29" s="1"/>
  <c r="K142" i="29" s="1"/>
  <c r="K143" i="29" s="1"/>
  <c r="K144" i="29" s="1"/>
  <c r="K145" i="29" s="1"/>
  <c r="K146" i="29" s="1"/>
  <c r="K147" i="29" s="1"/>
  <c r="K148" i="29" s="1"/>
  <c r="K149" i="29" s="1"/>
  <c r="K150" i="29" s="1"/>
  <c r="K151" i="29" s="1"/>
  <c r="K152" i="29" s="1"/>
  <c r="K153" i="29" s="1"/>
  <c r="K154" i="29" s="1"/>
  <c r="K155" i="29" s="1"/>
  <c r="K156" i="29" s="1"/>
  <c r="J117" i="29"/>
  <c r="S116" i="29"/>
  <c r="D116" i="29"/>
  <c r="D117" i="29" s="1"/>
  <c r="E117" i="29" s="1"/>
  <c r="C116" i="29"/>
  <c r="C117" i="29" s="1"/>
  <c r="C118" i="29" s="1"/>
  <c r="C119" i="29" s="1"/>
  <c r="C120" i="29" s="1"/>
  <c r="C121" i="29" s="1"/>
  <c r="C122" i="29" s="1"/>
  <c r="C123" i="29" s="1"/>
  <c r="C124" i="29" s="1"/>
  <c r="C125" i="29" s="1"/>
  <c r="C126" i="29" s="1"/>
  <c r="C127" i="29" s="1"/>
  <c r="C128" i="29" s="1"/>
  <c r="C129" i="29" s="1"/>
  <c r="C130" i="29" s="1"/>
  <c r="C131" i="29" s="1"/>
  <c r="C132" i="29" s="1"/>
  <c r="C133" i="29" s="1"/>
  <c r="C134" i="29" s="1"/>
  <c r="C135" i="29" s="1"/>
  <c r="C136" i="29" s="1"/>
  <c r="C137" i="29" s="1"/>
  <c r="C138" i="29" s="1"/>
  <c r="C139" i="29" s="1"/>
  <c r="C140" i="29" s="1"/>
  <c r="C141" i="29" s="1"/>
  <c r="C142" i="29" s="1"/>
  <c r="C143" i="29" s="1"/>
  <c r="C144" i="29" s="1"/>
  <c r="C145" i="29" s="1"/>
  <c r="C146" i="29" s="1"/>
  <c r="C147" i="29" s="1"/>
  <c r="C148" i="29" s="1"/>
  <c r="C149" i="29" s="1"/>
  <c r="C150" i="29" s="1"/>
  <c r="C151" i="29" s="1"/>
  <c r="C152" i="29" s="1"/>
  <c r="C153" i="29" s="1"/>
  <c r="C154" i="29" s="1"/>
  <c r="C155" i="29" s="1"/>
  <c r="C156" i="29" s="1"/>
  <c r="J71" i="29"/>
  <c r="AP70" i="29"/>
  <c r="AQ70" i="29" s="1"/>
  <c r="S70" i="29"/>
  <c r="D70" i="29"/>
  <c r="D71" i="29" s="1"/>
  <c r="E71" i="29" s="1"/>
  <c r="C70" i="29"/>
  <c r="C71" i="29" s="1"/>
  <c r="C72" i="29" s="1"/>
  <c r="C73" i="29" s="1"/>
  <c r="C74" i="29" s="1"/>
  <c r="C75" i="29" s="1"/>
  <c r="C76" i="29" s="1"/>
  <c r="C77" i="29" s="1"/>
  <c r="C78" i="29" s="1"/>
  <c r="C79" i="29" s="1"/>
  <c r="C80" i="29" s="1"/>
  <c r="C81" i="29" s="1"/>
  <c r="C82" i="29" s="1"/>
  <c r="C83" i="29" s="1"/>
  <c r="C84" i="29" s="1"/>
  <c r="C85" i="29" s="1"/>
  <c r="C86" i="29" s="1"/>
  <c r="C87" i="29" s="1"/>
  <c r="C88" i="29" s="1"/>
  <c r="C89" i="29" s="1"/>
  <c r="C90" i="29" s="1"/>
  <c r="C91" i="29" s="1"/>
  <c r="C92" i="29" s="1"/>
  <c r="C93" i="29" s="1"/>
  <c r="C94" i="29" s="1"/>
  <c r="C95" i="29" s="1"/>
  <c r="C96" i="29" s="1"/>
  <c r="C97" i="29" s="1"/>
  <c r="C98" i="29" s="1"/>
  <c r="C99" i="29" s="1"/>
  <c r="C100" i="29" s="1"/>
  <c r="C101" i="29" s="1"/>
  <c r="C102" i="29" s="1"/>
  <c r="C103" i="29" s="1"/>
  <c r="C104" i="29" s="1"/>
  <c r="C105" i="29" s="1"/>
  <c r="C106" i="29" s="1"/>
  <c r="C107" i="29" s="1"/>
  <c r="C108" i="29" s="1"/>
  <c r="C109" i="29" s="1"/>
  <c r="C110" i="29" s="1"/>
  <c r="T117" i="29" l="1"/>
  <c r="D118" i="29"/>
  <c r="E118" i="29" s="1"/>
  <c r="L117" i="29"/>
  <c r="K157" i="29"/>
  <c r="D72" i="29"/>
  <c r="E72" i="29" s="1"/>
  <c r="T71" i="29"/>
  <c r="AO52" i="10"/>
  <c r="AP52" i="10"/>
  <c r="Y14" i="27"/>
  <c r="Y15" i="27"/>
  <c r="Y16" i="27"/>
  <c r="Y17" i="27"/>
  <c r="Y18" i="27"/>
  <c r="Y19" i="27"/>
  <c r="Y23" i="27"/>
  <c r="Y24" i="27"/>
  <c r="Y25" i="27"/>
  <c r="Y26" i="27"/>
  <c r="Y27" i="27"/>
  <c r="Y31" i="27"/>
  <c r="Y13" i="27"/>
  <c r="W13" i="27" s="1"/>
  <c r="N14" i="27" s="1"/>
  <c r="AQ52" i="10" l="1"/>
  <c r="T118" i="29"/>
  <c r="J118" i="29"/>
  <c r="L118" i="29"/>
  <c r="D119" i="29"/>
  <c r="T72" i="29"/>
  <c r="J72" i="29"/>
  <c r="D73" i="29"/>
  <c r="E73" i="29" s="1"/>
  <c r="D120" i="29" l="1"/>
  <c r="E120" i="29" s="1"/>
  <c r="E119" i="29"/>
  <c r="J119" i="29"/>
  <c r="L119" i="29"/>
  <c r="T119" i="29"/>
  <c r="D74" i="29"/>
  <c r="E74" i="29" s="1"/>
  <c r="T73" i="29"/>
  <c r="J73" i="29"/>
  <c r="T120" i="29"/>
  <c r="J120" i="29"/>
  <c r="S98" i="10"/>
  <c r="S52" i="10"/>
  <c r="D121" i="29" l="1"/>
  <c r="E121" i="29" s="1"/>
  <c r="L120" i="29"/>
  <c r="T74" i="29"/>
  <c r="D75" i="29"/>
  <c r="E75" i="29" s="1"/>
  <c r="J74" i="29"/>
  <c r="L121" i="29"/>
  <c r="J121" i="29"/>
  <c r="T121" i="29"/>
  <c r="D122" i="29" l="1"/>
  <c r="E122" i="29" s="1"/>
  <c r="T75" i="29"/>
  <c r="D76" i="29"/>
  <c r="E76" i="29" s="1"/>
  <c r="J75" i="29"/>
  <c r="T122" i="29"/>
  <c r="D123" i="29"/>
  <c r="E123" i="29" s="1"/>
  <c r="J122" i="29" l="1"/>
  <c r="L122" i="29"/>
  <c r="J76" i="29"/>
  <c r="T76" i="29"/>
  <c r="D77" i="29"/>
  <c r="E77" i="29" s="1"/>
  <c r="D124" i="29"/>
  <c r="E124" i="29" s="1"/>
  <c r="T123" i="29"/>
  <c r="L123" i="29"/>
  <c r="J123" i="29"/>
  <c r="D58" i="26"/>
  <c r="I9" i="29" l="1"/>
  <c r="I59" i="26"/>
  <c r="T124" i="29"/>
  <c r="L124" i="29"/>
  <c r="J124" i="29"/>
  <c r="D125" i="29"/>
  <c r="E125" i="29" s="1"/>
  <c r="J77" i="29"/>
  <c r="D78" i="29"/>
  <c r="E78" i="29" s="1"/>
  <c r="T77" i="29"/>
  <c r="J99" i="10"/>
  <c r="J53" i="10"/>
  <c r="X14" i="27"/>
  <c r="X13" i="27"/>
  <c r="L125" i="29" l="1"/>
  <c r="J125" i="29"/>
  <c r="D126" i="29"/>
  <c r="T125" i="29"/>
  <c r="J78" i="29"/>
  <c r="D79" i="29"/>
  <c r="E79" i="29" s="1"/>
  <c r="T78" i="29"/>
  <c r="V13" i="27"/>
  <c r="U13" i="27"/>
  <c r="T126" i="29" l="1"/>
  <c r="J126" i="29"/>
  <c r="D127" i="29"/>
  <c r="E127" i="29" s="1"/>
  <c r="D80" i="29"/>
  <c r="T79" i="29"/>
  <c r="J79" i="29"/>
  <c r="J14" i="26"/>
  <c r="D128" i="29" l="1"/>
  <c r="E128" i="29" s="1"/>
  <c r="T127" i="29"/>
  <c r="L127" i="29"/>
  <c r="J127" i="29"/>
  <c r="J80" i="29"/>
  <c r="T80" i="29"/>
  <c r="D81" i="29"/>
  <c r="E81" i="29" s="1"/>
  <c r="J73" i="26"/>
  <c r="J71" i="26"/>
  <c r="J77" i="26"/>
  <c r="J76" i="26"/>
  <c r="J75" i="26"/>
  <c r="D129" i="29" l="1"/>
  <c r="E129" i="29" s="1"/>
  <c r="T128" i="29"/>
  <c r="L128" i="29"/>
  <c r="J128" i="29"/>
  <c r="L81" i="29"/>
  <c r="J81" i="29"/>
  <c r="T81" i="29"/>
  <c r="D82" i="29"/>
  <c r="E82" i="29" s="1"/>
  <c r="D61" i="26"/>
  <c r="D98" i="10"/>
  <c r="D52" i="10"/>
  <c r="D53" i="10" s="1"/>
  <c r="U15" i="27"/>
  <c r="U16" i="27"/>
  <c r="U23" i="27"/>
  <c r="U24" i="27"/>
  <c r="T13" i="27"/>
  <c r="H14" i="27" s="1"/>
  <c r="U17" i="27"/>
  <c r="U18" i="27"/>
  <c r="U19" i="27"/>
  <c r="U25" i="27"/>
  <c r="U26" i="27"/>
  <c r="U27" i="27"/>
  <c r="U31" i="27"/>
  <c r="K100" i="10"/>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X17" i="27"/>
  <c r="X18" i="27"/>
  <c r="X19" i="27"/>
  <c r="X31" i="27"/>
  <c r="X15" i="27"/>
  <c r="X16" i="27"/>
  <c r="X23" i="27"/>
  <c r="X24" i="27"/>
  <c r="X25" i="27"/>
  <c r="X26" i="27"/>
  <c r="X27" i="27"/>
  <c r="V14" i="27"/>
  <c r="D27" i="26"/>
  <c r="F9" i="29" s="1"/>
  <c r="L15" i="26"/>
  <c r="K81" i="29" s="1"/>
  <c r="C48" i="10"/>
  <c r="C47" i="10"/>
  <c r="C52" i="10"/>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W14" i="27"/>
  <c r="N15" i="27" s="1"/>
  <c r="W23" i="27"/>
  <c r="L14" i="26"/>
  <c r="AA4" i="27"/>
  <c r="AA3" i="27"/>
  <c r="V31" i="27"/>
  <c r="V27" i="27"/>
  <c r="V26" i="27"/>
  <c r="V25" i="27"/>
  <c r="V24" i="27"/>
  <c r="V23" i="27"/>
  <c r="V19" i="27"/>
  <c r="V18" i="27"/>
  <c r="V17" i="27"/>
  <c r="V16" i="27"/>
  <c r="V15" i="27"/>
  <c r="J36" i="26"/>
  <c r="J35" i="26"/>
  <c r="J67" i="26"/>
  <c r="J66" i="26"/>
  <c r="J68" i="26" s="1"/>
  <c r="C98" i="10"/>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L21" i="26"/>
  <c r="L20" i="26"/>
  <c r="L72" i="26" l="1"/>
  <c r="I10" i="29"/>
  <c r="P9" i="27"/>
  <c r="O36" i="27" s="1"/>
  <c r="T26" i="27"/>
  <c r="H27" i="27" s="1"/>
  <c r="D99" i="10"/>
  <c r="T99" i="10" s="1"/>
  <c r="K53" i="10"/>
  <c r="K71" i="29"/>
  <c r="K72" i="29"/>
  <c r="K73" i="29"/>
  <c r="K74" i="29"/>
  <c r="K75" i="29"/>
  <c r="K76" i="29"/>
  <c r="K77" i="29"/>
  <c r="K78" i="29"/>
  <c r="K79" i="29"/>
  <c r="K80" i="29"/>
  <c r="I28" i="26"/>
  <c r="D30" i="26" s="1"/>
  <c r="L40" i="26" s="1"/>
  <c r="T82" i="29"/>
  <c r="J82" i="29"/>
  <c r="L82" i="29"/>
  <c r="K82" i="29"/>
  <c r="D83" i="29"/>
  <c r="E83" i="29" s="1"/>
  <c r="J129" i="29"/>
  <c r="D130" i="29"/>
  <c r="E130" i="29" s="1"/>
  <c r="L129" i="29"/>
  <c r="T129" i="29"/>
  <c r="T27" i="27"/>
  <c r="H28" i="27" s="1"/>
  <c r="T31" i="27"/>
  <c r="H32" i="27" s="1"/>
  <c r="T53" i="10"/>
  <c r="W24" i="27"/>
  <c r="N25" i="27" s="1"/>
  <c r="O25" i="27" s="1"/>
  <c r="W25" i="27"/>
  <c r="N26" i="27" s="1"/>
  <c r="W15" i="27"/>
  <c r="N16" i="27" s="1"/>
  <c r="W19" i="27"/>
  <c r="N20" i="27" s="1"/>
  <c r="W18" i="27"/>
  <c r="N19" i="27" s="1"/>
  <c r="O19" i="27" s="1"/>
  <c r="D54" i="10"/>
  <c r="W17" i="27"/>
  <c r="N18" i="27" s="1"/>
  <c r="O53" i="27"/>
  <c r="O54" i="27" s="1"/>
  <c r="W26" i="27"/>
  <c r="N27" i="27" s="1"/>
  <c r="W31" i="27"/>
  <c r="N32" i="27" s="1"/>
  <c r="W16" i="27"/>
  <c r="N17" i="27" s="1"/>
  <c r="W27" i="27"/>
  <c r="N28" i="27" s="1"/>
  <c r="O28" i="27" s="1"/>
  <c r="T25" i="27"/>
  <c r="H26" i="27" s="1"/>
  <c r="T19" i="27"/>
  <c r="H20" i="27" s="1"/>
  <c r="T18" i="27"/>
  <c r="H19" i="27" s="1"/>
  <c r="T17" i="27"/>
  <c r="H18" i="27" s="1"/>
  <c r="T14" i="27"/>
  <c r="H15" i="27" s="1"/>
  <c r="T24" i="27"/>
  <c r="H25" i="27" s="1"/>
  <c r="T23" i="27"/>
  <c r="H24" i="27" s="1"/>
  <c r="T16" i="27"/>
  <c r="H17" i="27" s="1"/>
  <c r="N24" i="27"/>
  <c r="T15" i="27"/>
  <c r="H16" i="27" s="1"/>
  <c r="K139" i="10"/>
  <c r="L99" i="10"/>
  <c r="J37" i="26"/>
  <c r="E53" i="10"/>
  <c r="D100" i="10" l="1"/>
  <c r="T100" i="10" s="1"/>
  <c r="E99" i="10"/>
  <c r="F48" i="10"/>
  <c r="O20" i="27"/>
  <c r="Q20" i="27" s="1"/>
  <c r="O14" i="27"/>
  <c r="J9" i="27"/>
  <c r="I14" i="27" s="1"/>
  <c r="K14" i="27" s="1"/>
  <c r="H45" i="26"/>
  <c r="H75" i="26" s="1"/>
  <c r="I16" i="29" s="1"/>
  <c r="H46" i="26"/>
  <c r="H76" i="26" s="1"/>
  <c r="I17" i="29" s="1"/>
  <c r="L45" i="26"/>
  <c r="L75" i="26" s="1"/>
  <c r="L47" i="26"/>
  <c r="L77" i="26" s="1"/>
  <c r="L46" i="26"/>
  <c r="L76" i="26" s="1"/>
  <c r="X68" i="26"/>
  <c r="F68" i="26" s="1"/>
  <c r="L68" i="26" s="1"/>
  <c r="O24" i="27"/>
  <c r="O15" i="27"/>
  <c r="Q15" i="27" s="1"/>
  <c r="O17" i="27"/>
  <c r="Q17" i="27" s="1"/>
  <c r="L71" i="26"/>
  <c r="G54" i="10" s="1"/>
  <c r="G117" i="29"/>
  <c r="G118" i="29"/>
  <c r="G119" i="29"/>
  <c r="G120" i="29"/>
  <c r="G121" i="29"/>
  <c r="G122" i="29"/>
  <c r="G123" i="29"/>
  <c r="G124" i="29"/>
  <c r="G125" i="29"/>
  <c r="G126" i="29"/>
  <c r="G127" i="29"/>
  <c r="G128" i="29"/>
  <c r="Q14" i="27"/>
  <c r="O32" i="27"/>
  <c r="O18" i="27"/>
  <c r="O16" i="27"/>
  <c r="L42" i="26"/>
  <c r="F10" i="29"/>
  <c r="L41" i="26"/>
  <c r="H47" i="26"/>
  <c r="H77" i="26" s="1"/>
  <c r="G129" i="29"/>
  <c r="T83" i="29"/>
  <c r="L83" i="29"/>
  <c r="D84" i="29"/>
  <c r="E84" i="29" s="1"/>
  <c r="K83" i="29"/>
  <c r="J83" i="29"/>
  <c r="T130" i="29"/>
  <c r="L130" i="29"/>
  <c r="J130" i="29"/>
  <c r="G130" i="29"/>
  <c r="D131" i="29"/>
  <c r="E131" i="29" s="1"/>
  <c r="I25" i="27"/>
  <c r="K25" i="27" s="1"/>
  <c r="F47" i="10"/>
  <c r="I53" i="27"/>
  <c r="I54" i="27" s="1"/>
  <c r="I28" i="27"/>
  <c r="K28" i="27" s="1"/>
  <c r="I32" i="27"/>
  <c r="K32" i="27" s="1"/>
  <c r="I15" i="27"/>
  <c r="K15" i="27" s="1"/>
  <c r="I36" i="27"/>
  <c r="K36" i="27" s="1"/>
  <c r="T54" i="10"/>
  <c r="E54" i="10"/>
  <c r="K54" i="10"/>
  <c r="D55" i="10"/>
  <c r="G99" i="10"/>
  <c r="I19" i="27"/>
  <c r="K19" i="27" s="1"/>
  <c r="I18" i="27"/>
  <c r="I20" i="27"/>
  <c r="K20" i="27" s="1"/>
  <c r="I26" i="27"/>
  <c r="K26" i="27" s="1"/>
  <c r="I16" i="27"/>
  <c r="J54" i="10"/>
  <c r="O26" i="27"/>
  <c r="Q26" i="27" s="1"/>
  <c r="O27" i="27"/>
  <c r="Q27" i="27" s="1"/>
  <c r="Q19" i="27"/>
  <c r="Q25" i="27"/>
  <c r="Q28" i="27"/>
  <c r="L100" i="10"/>
  <c r="J100" i="10"/>
  <c r="D101" i="10"/>
  <c r="E100" i="10"/>
  <c r="G100" i="10"/>
  <c r="Q36" i="27"/>
  <c r="O37" i="27"/>
  <c r="F17" i="29" l="1"/>
  <c r="F16" i="29"/>
  <c r="W126" i="29"/>
  <c r="Q16" i="27"/>
  <c r="I126" i="29"/>
  <c r="I99" i="10"/>
  <c r="I100" i="10"/>
  <c r="I118" i="29"/>
  <c r="I122" i="29"/>
  <c r="I17" i="27"/>
  <c r="K17" i="27" s="1"/>
  <c r="I24" i="27"/>
  <c r="K24" i="27" s="1"/>
  <c r="I27" i="27"/>
  <c r="K27" i="27" s="1"/>
  <c r="I125" i="29"/>
  <c r="I121" i="29"/>
  <c r="I117" i="29"/>
  <c r="I129" i="29"/>
  <c r="I128" i="29"/>
  <c r="I124" i="29"/>
  <c r="I119" i="29"/>
  <c r="I130" i="29"/>
  <c r="I127" i="29"/>
  <c r="I123" i="29"/>
  <c r="I120" i="29"/>
  <c r="I53" i="10"/>
  <c r="I83" i="29"/>
  <c r="I54" i="10"/>
  <c r="G55" i="10"/>
  <c r="G83" i="29"/>
  <c r="G53" i="10"/>
  <c r="X37" i="26"/>
  <c r="F36" i="26" s="1"/>
  <c r="L36" i="26" s="1"/>
  <c r="X35" i="26"/>
  <c r="F34" i="26" s="1"/>
  <c r="L34" i="26" s="1"/>
  <c r="E126" i="29" s="1"/>
  <c r="W52" i="10"/>
  <c r="X53" i="10" s="1"/>
  <c r="X67" i="26"/>
  <c r="F67" i="26" s="1"/>
  <c r="L67" i="26" s="1"/>
  <c r="X66" i="26"/>
  <c r="F66" i="26" s="1"/>
  <c r="L66" i="26" s="1"/>
  <c r="X65" i="26"/>
  <c r="F65" i="26" s="1"/>
  <c r="L65" i="26" s="1"/>
  <c r="E80" i="29" s="1"/>
  <c r="Q52" i="10"/>
  <c r="R53" i="10" s="1"/>
  <c r="Q32" i="27"/>
  <c r="Q70" i="29"/>
  <c r="R83" i="29" s="1"/>
  <c r="K53" i="27"/>
  <c r="X38" i="26" s="1"/>
  <c r="I37" i="27"/>
  <c r="O21" i="27"/>
  <c r="O33" i="27"/>
  <c r="H99" i="10"/>
  <c r="H100" i="10" s="1"/>
  <c r="H101" i="10" s="1"/>
  <c r="H102" i="10" s="1"/>
  <c r="H103" i="10" s="1"/>
  <c r="H104" i="10" s="1"/>
  <c r="H105" i="10" s="1"/>
  <c r="H106" i="10" s="1"/>
  <c r="H107" i="10" s="1"/>
  <c r="H108" i="10" s="1"/>
  <c r="H109" i="10" s="1"/>
  <c r="H110" i="10" s="1"/>
  <c r="H111" i="10" s="1"/>
  <c r="H112" i="10" s="1"/>
  <c r="H113" i="10" s="1"/>
  <c r="H114" i="10" s="1"/>
  <c r="H115" i="10" s="1"/>
  <c r="H116" i="10" s="1"/>
  <c r="H117" i="10" s="1"/>
  <c r="H118" i="10" s="1"/>
  <c r="H119" i="10" s="1"/>
  <c r="H120" i="10" s="1"/>
  <c r="H121" i="10" s="1"/>
  <c r="H122" i="10" s="1"/>
  <c r="H123" i="10" s="1"/>
  <c r="H124" i="10" s="1"/>
  <c r="H125" i="10" s="1"/>
  <c r="H126" i="10" s="1"/>
  <c r="H127" i="10" s="1"/>
  <c r="H128" i="10" s="1"/>
  <c r="H129" i="10" s="1"/>
  <c r="H130" i="10" s="1"/>
  <c r="H131" i="10" s="1"/>
  <c r="H132" i="10" s="1"/>
  <c r="H133" i="10" s="1"/>
  <c r="H134" i="10" s="1"/>
  <c r="H135" i="10" s="1"/>
  <c r="H136" i="10" s="1"/>
  <c r="H137" i="10" s="1"/>
  <c r="H138" i="10" s="1"/>
  <c r="H117" i="29"/>
  <c r="H118" i="29" s="1"/>
  <c r="H119" i="29" s="1"/>
  <c r="H120" i="29" s="1"/>
  <c r="H121" i="29" s="1"/>
  <c r="H122" i="29" s="1"/>
  <c r="H123" i="29" s="1"/>
  <c r="H124" i="29" s="1"/>
  <c r="H125" i="29" s="1"/>
  <c r="H126" i="29" s="1"/>
  <c r="H127" i="29" s="1"/>
  <c r="H128" i="29" s="1"/>
  <c r="H129" i="29" s="1"/>
  <c r="L73" i="26"/>
  <c r="I71" i="29"/>
  <c r="I72" i="29"/>
  <c r="I73" i="29"/>
  <c r="I74" i="29"/>
  <c r="I75" i="29"/>
  <c r="I76" i="29"/>
  <c r="I77" i="29"/>
  <c r="I78" i="29"/>
  <c r="I79" i="29"/>
  <c r="I80" i="29"/>
  <c r="I81" i="29"/>
  <c r="I82" i="29"/>
  <c r="K16" i="27"/>
  <c r="W116" i="29"/>
  <c r="W70" i="29"/>
  <c r="W80" i="29"/>
  <c r="I18" i="29"/>
  <c r="F18" i="29"/>
  <c r="Q116" i="29"/>
  <c r="R131" i="29" s="1"/>
  <c r="G71" i="29"/>
  <c r="G72" i="29"/>
  <c r="G73" i="29"/>
  <c r="G74" i="29"/>
  <c r="G75" i="29"/>
  <c r="G76" i="29"/>
  <c r="G77" i="29"/>
  <c r="G78" i="29"/>
  <c r="G79" i="29"/>
  <c r="G80" i="29"/>
  <c r="G81" i="29"/>
  <c r="G82" i="29"/>
  <c r="U70" i="29"/>
  <c r="V84" i="29" s="1"/>
  <c r="L84" i="29"/>
  <c r="K84" i="29"/>
  <c r="J84" i="29"/>
  <c r="I84" i="29"/>
  <c r="D85" i="29"/>
  <c r="E85" i="29" s="1"/>
  <c r="G84" i="29"/>
  <c r="T84" i="29"/>
  <c r="D132" i="29"/>
  <c r="E132" i="29" s="1"/>
  <c r="T131" i="29"/>
  <c r="L131" i="29"/>
  <c r="J131" i="29"/>
  <c r="I131" i="29"/>
  <c r="G131" i="29"/>
  <c r="I33" i="27"/>
  <c r="K18" i="27"/>
  <c r="L126" i="29" s="1"/>
  <c r="Q98" i="10"/>
  <c r="R101" i="10" s="1"/>
  <c r="T55" i="10"/>
  <c r="E55" i="10"/>
  <c r="J55" i="10"/>
  <c r="I55" i="10"/>
  <c r="D56" i="10"/>
  <c r="D57" i="10" s="1"/>
  <c r="L101" i="10"/>
  <c r="T101" i="10"/>
  <c r="K55" i="10"/>
  <c r="W98" i="10"/>
  <c r="X100" i="10" s="1"/>
  <c r="U52" i="10"/>
  <c r="D102" i="10"/>
  <c r="I102" i="10" s="1"/>
  <c r="E101" i="10"/>
  <c r="I101" i="10"/>
  <c r="O29" i="27"/>
  <c r="Q18" i="27"/>
  <c r="L80" i="29" s="1"/>
  <c r="Q24" i="27"/>
  <c r="G101" i="10"/>
  <c r="J101" i="10"/>
  <c r="I21" i="27" l="1"/>
  <c r="U98" i="10"/>
  <c r="I29" i="27"/>
  <c r="U116" i="29"/>
  <c r="V125" i="29" s="1"/>
  <c r="X54" i="10"/>
  <c r="X36" i="26"/>
  <c r="F35" i="26" s="1"/>
  <c r="L35" i="26" s="1"/>
  <c r="X55" i="10"/>
  <c r="M129" i="29"/>
  <c r="M100" i="10"/>
  <c r="M99" i="10"/>
  <c r="N99" i="10"/>
  <c r="F37" i="26"/>
  <c r="L37" i="26" s="1"/>
  <c r="N100" i="10"/>
  <c r="R55" i="10"/>
  <c r="R74" i="29"/>
  <c r="R80" i="29"/>
  <c r="R77" i="29"/>
  <c r="R84" i="29"/>
  <c r="R81" i="29"/>
  <c r="R79" i="29"/>
  <c r="R78" i="29"/>
  <c r="R54" i="10"/>
  <c r="R73" i="29"/>
  <c r="R76" i="29"/>
  <c r="R75" i="29"/>
  <c r="R72" i="29"/>
  <c r="R71" i="29"/>
  <c r="R82" i="29"/>
  <c r="M101" i="10"/>
  <c r="O39" i="27"/>
  <c r="N117" i="29"/>
  <c r="N118" i="29"/>
  <c r="M122" i="29"/>
  <c r="N121" i="29"/>
  <c r="M128" i="29"/>
  <c r="M123" i="29"/>
  <c r="M117" i="29"/>
  <c r="M124" i="29"/>
  <c r="M121" i="29"/>
  <c r="N124" i="29"/>
  <c r="M127" i="29"/>
  <c r="M119" i="29"/>
  <c r="N120" i="29"/>
  <c r="N128" i="29"/>
  <c r="N119" i="29"/>
  <c r="M118" i="29"/>
  <c r="M125" i="29"/>
  <c r="N123" i="29"/>
  <c r="M120" i="29"/>
  <c r="M126" i="29"/>
  <c r="I39" i="27"/>
  <c r="N127" i="29"/>
  <c r="N125" i="29"/>
  <c r="N122" i="29"/>
  <c r="X71" i="29"/>
  <c r="X72" i="29"/>
  <c r="X73" i="29"/>
  <c r="X74" i="29"/>
  <c r="X75" i="29"/>
  <c r="X76" i="29"/>
  <c r="X77" i="29"/>
  <c r="X78" i="29"/>
  <c r="X79" i="29"/>
  <c r="V117" i="29"/>
  <c r="V118" i="29"/>
  <c r="V120" i="29"/>
  <c r="V119" i="29"/>
  <c r="V121" i="29"/>
  <c r="V122" i="29"/>
  <c r="V123" i="29"/>
  <c r="V124" i="29"/>
  <c r="V129" i="29"/>
  <c r="V130" i="29"/>
  <c r="H53" i="10"/>
  <c r="H71" i="29"/>
  <c r="H72" i="29" s="1"/>
  <c r="H73" i="29" s="1"/>
  <c r="H74" i="29" s="1"/>
  <c r="H75" i="29" s="1"/>
  <c r="H76" i="29" s="1"/>
  <c r="H77" i="29" s="1"/>
  <c r="H78" i="29" s="1"/>
  <c r="H79" i="29" s="1"/>
  <c r="H80" i="29" s="1"/>
  <c r="H81" i="29" s="1"/>
  <c r="H82" i="29" s="1"/>
  <c r="H83" i="29" s="1"/>
  <c r="M83" i="29" s="1"/>
  <c r="N126" i="29"/>
  <c r="X129" i="29"/>
  <c r="X133" i="29"/>
  <c r="X127" i="29"/>
  <c r="X130" i="29"/>
  <c r="X134" i="29"/>
  <c r="X135" i="29"/>
  <c r="X126" i="29"/>
  <c r="X131" i="29"/>
  <c r="X128" i="29"/>
  <c r="X132" i="29"/>
  <c r="H130" i="29"/>
  <c r="M130" i="29" s="1"/>
  <c r="N129" i="29"/>
  <c r="R117" i="29"/>
  <c r="R118" i="29"/>
  <c r="R120" i="29"/>
  <c r="R119" i="29"/>
  <c r="R121" i="29"/>
  <c r="R122" i="29"/>
  <c r="R123" i="29"/>
  <c r="R124" i="29"/>
  <c r="R125" i="29"/>
  <c r="R126" i="29"/>
  <c r="R127" i="29"/>
  <c r="R128" i="29"/>
  <c r="R129" i="29"/>
  <c r="R130" i="29"/>
  <c r="X82" i="29"/>
  <c r="X86" i="29"/>
  <c r="X83" i="29"/>
  <c r="X87" i="29"/>
  <c r="X80" i="29"/>
  <c r="X84" i="29"/>
  <c r="X88" i="29"/>
  <c r="X89" i="29"/>
  <c r="X81" i="29"/>
  <c r="X85" i="29"/>
  <c r="K39" i="27"/>
  <c r="V131" i="29"/>
  <c r="X117" i="29"/>
  <c r="X118" i="29"/>
  <c r="X119" i="29"/>
  <c r="X120" i="29"/>
  <c r="X121" i="29"/>
  <c r="X122" i="29"/>
  <c r="X123" i="29"/>
  <c r="X124" i="29"/>
  <c r="X125" i="29"/>
  <c r="V71" i="29"/>
  <c r="V72" i="29"/>
  <c r="V80" i="29"/>
  <c r="V73" i="29"/>
  <c r="V79" i="29"/>
  <c r="V82" i="29"/>
  <c r="V74" i="29"/>
  <c r="V78" i="29"/>
  <c r="V81" i="29"/>
  <c r="V75" i="29"/>
  <c r="V77" i="29"/>
  <c r="V76" i="29"/>
  <c r="V83" i="29"/>
  <c r="D133" i="29"/>
  <c r="E133" i="29" s="1"/>
  <c r="T132" i="29"/>
  <c r="R132" i="29"/>
  <c r="L132" i="29"/>
  <c r="J132" i="29"/>
  <c r="I132" i="29"/>
  <c r="G132" i="29"/>
  <c r="V132" i="29"/>
  <c r="L85" i="29"/>
  <c r="K85" i="29"/>
  <c r="J85" i="29"/>
  <c r="I85" i="29"/>
  <c r="D86" i="29"/>
  <c r="E86" i="29" s="1"/>
  <c r="G85" i="29"/>
  <c r="T85" i="29"/>
  <c r="V85" i="29"/>
  <c r="R85" i="29"/>
  <c r="E102" i="10"/>
  <c r="D103" i="10"/>
  <c r="R103" i="10" s="1"/>
  <c r="R56" i="10"/>
  <c r="G102" i="10"/>
  <c r="J56" i="10"/>
  <c r="R99" i="10"/>
  <c r="X102" i="10"/>
  <c r="X101" i="10"/>
  <c r="R100" i="10"/>
  <c r="T57" i="10"/>
  <c r="X56" i="10"/>
  <c r="I56" i="10"/>
  <c r="G56" i="10"/>
  <c r="X99" i="10"/>
  <c r="J102" i="10"/>
  <c r="T102" i="10"/>
  <c r="R102" i="10"/>
  <c r="T56" i="10"/>
  <c r="V56" i="10"/>
  <c r="K56" i="10"/>
  <c r="E56" i="10"/>
  <c r="V53" i="10"/>
  <c r="Y53" i="10" s="1"/>
  <c r="F53" i="10" s="1"/>
  <c r="V55" i="10"/>
  <c r="V54" i="10"/>
  <c r="V101" i="10"/>
  <c r="V102" i="10"/>
  <c r="V100" i="10"/>
  <c r="V99" i="10"/>
  <c r="X57" i="10"/>
  <c r="L102" i="10"/>
  <c r="V57" i="10"/>
  <c r="J57" i="10"/>
  <c r="R57" i="10"/>
  <c r="Q39" i="27"/>
  <c r="N101" i="10"/>
  <c r="G57" i="10"/>
  <c r="D58" i="10"/>
  <c r="E57" i="10"/>
  <c r="K57" i="10"/>
  <c r="I57" i="10"/>
  <c r="V103" i="10" l="1"/>
  <c r="V128" i="29"/>
  <c r="V127" i="29"/>
  <c r="V126" i="29"/>
  <c r="Y126" i="29" s="1"/>
  <c r="F126" i="29" s="1"/>
  <c r="AP80" i="29" s="1"/>
  <c r="Y55" i="10"/>
  <c r="F55" i="10" s="1"/>
  <c r="Y84" i="29"/>
  <c r="F84" i="29" s="1"/>
  <c r="Y54" i="10"/>
  <c r="F54" i="10" s="1"/>
  <c r="O40" i="27"/>
  <c r="I42" i="27"/>
  <c r="I43" i="27" s="1"/>
  <c r="Y79" i="29"/>
  <c r="F79" i="29" s="1"/>
  <c r="M102" i="10"/>
  <c r="O42" i="27"/>
  <c r="O43" i="27" s="1"/>
  <c r="I40" i="27"/>
  <c r="M81" i="29"/>
  <c r="M82" i="29"/>
  <c r="M80" i="29"/>
  <c r="Y71" i="29"/>
  <c r="F71" i="29" s="1"/>
  <c r="Y72" i="29"/>
  <c r="F72" i="29" s="1"/>
  <c r="Y131" i="29"/>
  <c r="F131" i="29" s="1"/>
  <c r="Y120" i="29"/>
  <c r="F120" i="29" s="1"/>
  <c r="AP74" i="29" s="1"/>
  <c r="Y129" i="29"/>
  <c r="F129" i="29" s="1"/>
  <c r="Y75" i="29"/>
  <c r="F75" i="29" s="1"/>
  <c r="Y77" i="29"/>
  <c r="F77" i="29" s="1"/>
  <c r="Y76" i="29"/>
  <c r="F76" i="29" s="1"/>
  <c r="Y78" i="29"/>
  <c r="F78" i="29" s="1"/>
  <c r="Y83" i="29"/>
  <c r="F83" i="29" s="1"/>
  <c r="AO83" i="29" s="1"/>
  <c r="Y74" i="29"/>
  <c r="F74" i="29" s="1"/>
  <c r="L103" i="10"/>
  <c r="X103" i="10"/>
  <c r="I103" i="10"/>
  <c r="D104" i="10"/>
  <c r="R104" i="10" s="1"/>
  <c r="G103" i="10"/>
  <c r="T103" i="10"/>
  <c r="E103" i="10"/>
  <c r="J103" i="10"/>
  <c r="N102" i="10"/>
  <c r="Y80" i="29"/>
  <c r="F80" i="29" s="1"/>
  <c r="AO80" i="29" s="1"/>
  <c r="Y128" i="29"/>
  <c r="F128" i="29" s="1"/>
  <c r="N81" i="29"/>
  <c r="Y127" i="29"/>
  <c r="F127" i="29" s="1"/>
  <c r="AP81" i="29" s="1"/>
  <c r="Y124" i="29"/>
  <c r="F124" i="29" s="1"/>
  <c r="AP78" i="29" s="1"/>
  <c r="N80" i="29"/>
  <c r="Y123" i="29"/>
  <c r="F123" i="29" s="1"/>
  <c r="Y82" i="29"/>
  <c r="F82" i="29" s="1"/>
  <c r="Y130" i="29"/>
  <c r="F130" i="29" s="1"/>
  <c r="Y122" i="29"/>
  <c r="F122" i="29" s="1"/>
  <c r="Y118" i="29"/>
  <c r="F118" i="29" s="1"/>
  <c r="Y81" i="29"/>
  <c r="F81" i="29" s="1"/>
  <c r="AO81" i="29" s="1"/>
  <c r="Y125" i="29"/>
  <c r="F125" i="29" s="1"/>
  <c r="Y121" i="29"/>
  <c r="F121" i="29" s="1"/>
  <c r="Y117" i="29"/>
  <c r="F117" i="29" s="1"/>
  <c r="H84" i="29"/>
  <c r="M84" i="29" s="1"/>
  <c r="N83" i="29"/>
  <c r="H131" i="29"/>
  <c r="M131" i="29" s="1"/>
  <c r="N130" i="29"/>
  <c r="Y73" i="29"/>
  <c r="F73" i="29" s="1"/>
  <c r="Y119" i="29"/>
  <c r="F119" i="29" s="1"/>
  <c r="H54" i="10"/>
  <c r="N82" i="29"/>
  <c r="L54" i="10"/>
  <c r="L75" i="29"/>
  <c r="M75" i="29" s="1"/>
  <c r="L76" i="29"/>
  <c r="M76" i="29" s="1"/>
  <c r="L77" i="29"/>
  <c r="M77" i="29" s="1"/>
  <c r="L78" i="29"/>
  <c r="M78" i="29" s="1"/>
  <c r="L74" i="29"/>
  <c r="M74" i="29" s="1"/>
  <c r="L79" i="29"/>
  <c r="M79" i="29" s="1"/>
  <c r="L72" i="29"/>
  <c r="M72" i="29" s="1"/>
  <c r="L73" i="29"/>
  <c r="M73" i="29" s="1"/>
  <c r="L71" i="29"/>
  <c r="M71" i="29" s="1"/>
  <c r="Y132" i="29"/>
  <c r="F132" i="29" s="1"/>
  <c r="J133" i="29"/>
  <c r="I133" i="29"/>
  <c r="G133" i="29"/>
  <c r="D134" i="29"/>
  <c r="E134" i="29" s="1"/>
  <c r="L133" i="29"/>
  <c r="V133" i="29"/>
  <c r="T133" i="29"/>
  <c r="R133" i="29"/>
  <c r="Y85" i="29"/>
  <c r="F85" i="29" s="1"/>
  <c r="I86" i="29"/>
  <c r="D87" i="29"/>
  <c r="E87" i="29" s="1"/>
  <c r="G86" i="29"/>
  <c r="V86" i="29"/>
  <c r="T86" i="29"/>
  <c r="R86" i="29"/>
  <c r="L86" i="29"/>
  <c r="J86" i="29"/>
  <c r="K86" i="29"/>
  <c r="Y101" i="10"/>
  <c r="F101" i="10" s="1"/>
  <c r="AP55" i="10" s="1"/>
  <c r="Y99" i="10"/>
  <c r="F99" i="10" s="1"/>
  <c r="AP53" i="10" s="1"/>
  <c r="Y100" i="10"/>
  <c r="F100" i="10" s="1"/>
  <c r="AP54" i="10" s="1"/>
  <c r="Y102" i="10"/>
  <c r="F102" i="10" s="1"/>
  <c r="AP56" i="10" s="1"/>
  <c r="Y56" i="10"/>
  <c r="F56" i="10" s="1"/>
  <c r="J104" i="10"/>
  <c r="T104" i="10"/>
  <c r="V104" i="10"/>
  <c r="T58" i="10"/>
  <c r="Y57" i="10"/>
  <c r="F57" i="10" s="1"/>
  <c r="L57" i="10"/>
  <c r="L55" i="10"/>
  <c r="L56" i="10"/>
  <c r="L53" i="10"/>
  <c r="X58" i="10"/>
  <c r="V58" i="10"/>
  <c r="J58" i="10"/>
  <c r="R58" i="10"/>
  <c r="L104" i="10"/>
  <c r="D105" i="10"/>
  <c r="D59" i="10"/>
  <c r="E58" i="10"/>
  <c r="I58" i="10"/>
  <c r="K58" i="10"/>
  <c r="G58" i="10"/>
  <c r="L58" i="10"/>
  <c r="E104" i="10" l="1"/>
  <c r="I104" i="10"/>
  <c r="X104" i="10"/>
  <c r="Y104" i="10" s="1"/>
  <c r="F104" i="10" s="1"/>
  <c r="G104" i="10"/>
  <c r="M104" i="10" s="1"/>
  <c r="I45" i="27"/>
  <c r="O45" i="27"/>
  <c r="O46" i="27"/>
  <c r="O47" i="27"/>
  <c r="I46" i="27"/>
  <c r="I47" i="27"/>
  <c r="M103" i="10"/>
  <c r="N53" i="10"/>
  <c r="M53" i="10"/>
  <c r="AO71" i="29"/>
  <c r="AP85" i="29"/>
  <c r="N103" i="10"/>
  <c r="AQ80" i="29"/>
  <c r="AP83" i="29"/>
  <c r="AQ83" i="29" s="1"/>
  <c r="Y103" i="10"/>
  <c r="F103" i="10" s="1"/>
  <c r="AP57" i="10" s="1"/>
  <c r="AP82" i="29"/>
  <c r="AP77" i="29"/>
  <c r="AO54" i="10"/>
  <c r="AQ54" i="10" s="1"/>
  <c r="AQ81" i="29"/>
  <c r="H55" i="10"/>
  <c r="AO55" i="10" s="1"/>
  <c r="AQ55" i="10" s="1"/>
  <c r="M54" i="10"/>
  <c r="AP75" i="29"/>
  <c r="AP73" i="29"/>
  <c r="AP79" i="29"/>
  <c r="AP72" i="29"/>
  <c r="AO82" i="29"/>
  <c r="H132" i="29"/>
  <c r="M132" i="29" s="1"/>
  <c r="N131" i="29"/>
  <c r="H85" i="29"/>
  <c r="M85" i="29" s="1"/>
  <c r="N84" i="29"/>
  <c r="AO84" i="29"/>
  <c r="AP76" i="29"/>
  <c r="N54" i="10"/>
  <c r="AP71" i="29"/>
  <c r="AP84" i="29"/>
  <c r="Y133" i="29"/>
  <c r="F133" i="29" s="1"/>
  <c r="N71" i="29"/>
  <c r="N73" i="29"/>
  <c r="AO73" i="29"/>
  <c r="N72" i="29"/>
  <c r="AO72" i="29"/>
  <c r="N79" i="29"/>
  <c r="AO79" i="29"/>
  <c r="N74" i="29"/>
  <c r="AO74" i="29"/>
  <c r="AQ74" i="29" s="1"/>
  <c r="N78" i="29"/>
  <c r="AO78" i="29"/>
  <c r="AQ78" i="29" s="1"/>
  <c r="N77" i="29"/>
  <c r="AO77" i="29"/>
  <c r="N76" i="29"/>
  <c r="AO76" i="29"/>
  <c r="N75" i="29"/>
  <c r="AO75" i="29"/>
  <c r="Y86" i="29"/>
  <c r="F86" i="29" s="1"/>
  <c r="V87" i="29"/>
  <c r="T87" i="29"/>
  <c r="R87" i="29"/>
  <c r="K87" i="29"/>
  <c r="L87" i="29"/>
  <c r="I87" i="29"/>
  <c r="G87" i="29"/>
  <c r="D88" i="29"/>
  <c r="E88" i="29" s="1"/>
  <c r="J87" i="29"/>
  <c r="T134" i="29"/>
  <c r="R134" i="29"/>
  <c r="J134" i="29"/>
  <c r="L134" i="29"/>
  <c r="V134" i="29"/>
  <c r="I134" i="29"/>
  <c r="G134" i="29"/>
  <c r="D135" i="29"/>
  <c r="E135" i="29" s="1"/>
  <c r="AO53" i="10"/>
  <c r="AQ53" i="10" s="1"/>
  <c r="J105" i="10"/>
  <c r="T105" i="10"/>
  <c r="R105" i="10"/>
  <c r="X105" i="10"/>
  <c r="V105" i="10"/>
  <c r="T59" i="10"/>
  <c r="Y58" i="10"/>
  <c r="F58" i="10" s="1"/>
  <c r="X59" i="10"/>
  <c r="V59" i="10"/>
  <c r="J59" i="10"/>
  <c r="R59" i="10"/>
  <c r="G105" i="10"/>
  <c r="D106" i="10"/>
  <c r="E105" i="10"/>
  <c r="I105" i="10"/>
  <c r="L105" i="10"/>
  <c r="I59" i="10"/>
  <c r="K59" i="10"/>
  <c r="D60" i="10"/>
  <c r="E59" i="10"/>
  <c r="G59" i="10"/>
  <c r="L59" i="10"/>
  <c r="AP58" i="10" l="1"/>
  <c r="N104" i="10"/>
  <c r="N55" i="10"/>
  <c r="I48" i="27"/>
  <c r="I50" i="27" s="1"/>
  <c r="F33" i="26" s="1"/>
  <c r="M105" i="10"/>
  <c r="O48" i="27"/>
  <c r="O50" i="27" s="1"/>
  <c r="F64" i="26" s="1"/>
  <c r="E70" i="29" s="1"/>
  <c r="AQ82" i="29"/>
  <c r="AQ77" i="29"/>
  <c r="AQ73" i="29"/>
  <c r="AQ72" i="29"/>
  <c r="AQ75" i="29"/>
  <c r="H86" i="29"/>
  <c r="M86" i="29" s="1"/>
  <c r="N85" i="29"/>
  <c r="AO85" i="29"/>
  <c r="AQ85" i="29" s="1"/>
  <c r="AQ84" i="29"/>
  <c r="AQ79" i="29"/>
  <c r="H133" i="29"/>
  <c r="M133" i="29" s="1"/>
  <c r="N132" i="29"/>
  <c r="AQ76" i="29"/>
  <c r="AQ71" i="29"/>
  <c r="AP86" i="29"/>
  <c r="H56" i="10"/>
  <c r="M55" i="10"/>
  <c r="Y87" i="29"/>
  <c r="F87" i="29" s="1"/>
  <c r="D136" i="29"/>
  <c r="R135" i="29"/>
  <c r="V135" i="29"/>
  <c r="T135" i="29"/>
  <c r="L135" i="29"/>
  <c r="J135" i="29"/>
  <c r="I135" i="29"/>
  <c r="G135" i="29"/>
  <c r="Y134" i="29"/>
  <c r="F134" i="29" s="1"/>
  <c r="R88" i="29"/>
  <c r="D89" i="29"/>
  <c r="E89" i="29" s="1"/>
  <c r="V88" i="29"/>
  <c r="T88" i="29"/>
  <c r="J88" i="29"/>
  <c r="L88" i="29"/>
  <c r="I88" i="29"/>
  <c r="K88" i="29"/>
  <c r="G88" i="29"/>
  <c r="Y105" i="10"/>
  <c r="F105" i="10" s="1"/>
  <c r="AP59" i="10" s="1"/>
  <c r="T60" i="10"/>
  <c r="J106" i="10"/>
  <c r="T106" i="10"/>
  <c r="R106" i="10"/>
  <c r="X106" i="10"/>
  <c r="V106" i="10"/>
  <c r="Y59" i="10"/>
  <c r="F59" i="10" s="1"/>
  <c r="X60" i="10"/>
  <c r="V60" i="10"/>
  <c r="J60" i="10"/>
  <c r="R60" i="10"/>
  <c r="N105" i="10"/>
  <c r="L106" i="10"/>
  <c r="G106" i="10"/>
  <c r="I106" i="10"/>
  <c r="E106" i="10"/>
  <c r="D107" i="10"/>
  <c r="E60" i="10"/>
  <c r="K60" i="10"/>
  <c r="I60" i="10"/>
  <c r="D61" i="10"/>
  <c r="G60" i="10"/>
  <c r="L60" i="10"/>
  <c r="E136" i="29" l="1"/>
  <c r="W136" i="29"/>
  <c r="U136" i="29"/>
  <c r="V136" i="29" s="1"/>
  <c r="M70" i="29"/>
  <c r="N70" i="29"/>
  <c r="O70" i="29" s="1"/>
  <c r="I51" i="27"/>
  <c r="F13" i="29"/>
  <c r="F14" i="29" s="1"/>
  <c r="O51" i="27"/>
  <c r="M106" i="10"/>
  <c r="AO86" i="29"/>
  <c r="AQ86" i="29" s="1"/>
  <c r="Y106" i="10"/>
  <c r="F106" i="10" s="1"/>
  <c r="AP60" i="10" s="1"/>
  <c r="H57" i="10"/>
  <c r="M56" i="10"/>
  <c r="N56" i="10"/>
  <c r="AO56" i="10"/>
  <c r="AQ56" i="10" s="1"/>
  <c r="H134" i="29"/>
  <c r="M134" i="29" s="1"/>
  <c r="AP87" i="29"/>
  <c r="N133" i="29"/>
  <c r="H87" i="29"/>
  <c r="M87" i="29" s="1"/>
  <c r="N86" i="29"/>
  <c r="Y88" i="29"/>
  <c r="F88" i="29" s="1"/>
  <c r="V89" i="29"/>
  <c r="D90" i="29"/>
  <c r="T89" i="29"/>
  <c r="R89" i="29"/>
  <c r="J89" i="29"/>
  <c r="G89" i="29"/>
  <c r="L89" i="29"/>
  <c r="K89" i="29"/>
  <c r="I89" i="29"/>
  <c r="Y135" i="29"/>
  <c r="F135" i="29" s="1"/>
  <c r="D137" i="29"/>
  <c r="E137" i="29" s="1"/>
  <c r="T136" i="29"/>
  <c r="R136" i="29"/>
  <c r="L136" i="29"/>
  <c r="J136" i="29"/>
  <c r="I136" i="29"/>
  <c r="G136" i="29"/>
  <c r="V155" i="29"/>
  <c r="Y60" i="10"/>
  <c r="F60" i="10" s="1"/>
  <c r="T61" i="10"/>
  <c r="J107" i="10"/>
  <c r="T107" i="10"/>
  <c r="R107" i="10"/>
  <c r="X107" i="10"/>
  <c r="V107" i="10"/>
  <c r="X61" i="10"/>
  <c r="V61" i="10"/>
  <c r="J61" i="10"/>
  <c r="R61" i="10"/>
  <c r="N106" i="10"/>
  <c r="E107" i="10"/>
  <c r="I107" i="10"/>
  <c r="L107" i="10"/>
  <c r="D108" i="10"/>
  <c r="G107" i="10"/>
  <c r="G61" i="10"/>
  <c r="E61" i="10"/>
  <c r="K61" i="10"/>
  <c r="D62" i="10"/>
  <c r="E62" i="10" s="1"/>
  <c r="I61" i="10"/>
  <c r="L61" i="10"/>
  <c r="E90" i="29" l="1"/>
  <c r="W90" i="29"/>
  <c r="U90" i="29"/>
  <c r="AE70" i="29"/>
  <c r="AK70" i="29" s="1"/>
  <c r="O71" i="29"/>
  <c r="E98" i="10"/>
  <c r="E52" i="10"/>
  <c r="I13" i="29"/>
  <c r="I14" i="29" s="1"/>
  <c r="M107" i="10"/>
  <c r="H88" i="29"/>
  <c r="M88" i="29" s="1"/>
  <c r="N87" i="29"/>
  <c r="AO87" i="29"/>
  <c r="AQ87" i="29" s="1"/>
  <c r="H135" i="29"/>
  <c r="M135" i="29" s="1"/>
  <c r="N134" i="29"/>
  <c r="H58" i="10"/>
  <c r="M57" i="10"/>
  <c r="N57" i="10"/>
  <c r="AO57" i="10"/>
  <c r="AQ57" i="10" s="1"/>
  <c r="AP88" i="29"/>
  <c r="Y89" i="29"/>
  <c r="F89" i="29" s="1"/>
  <c r="I137" i="29"/>
  <c r="G137" i="29"/>
  <c r="V156" i="29"/>
  <c r="D138" i="29"/>
  <c r="E138" i="29" s="1"/>
  <c r="J137" i="29"/>
  <c r="T137" i="29"/>
  <c r="R137" i="29"/>
  <c r="L137" i="29"/>
  <c r="V137" i="29"/>
  <c r="V138" i="29"/>
  <c r="V139" i="29"/>
  <c r="V140" i="29"/>
  <c r="V141" i="29"/>
  <c r="V142" i="29"/>
  <c r="V143" i="29"/>
  <c r="V144" i="29"/>
  <c r="V145" i="29"/>
  <c r="V146" i="29"/>
  <c r="V147" i="29"/>
  <c r="V148" i="29"/>
  <c r="V149" i="29"/>
  <c r="V150" i="29"/>
  <c r="V151" i="29"/>
  <c r="V152" i="29"/>
  <c r="V153" i="29"/>
  <c r="V154" i="29"/>
  <c r="V109" i="29"/>
  <c r="T90" i="29"/>
  <c r="R90" i="29"/>
  <c r="J90" i="29"/>
  <c r="I90" i="29"/>
  <c r="G90" i="29"/>
  <c r="D91" i="29"/>
  <c r="E91" i="29" s="1"/>
  <c r="L90" i="29"/>
  <c r="K90" i="29"/>
  <c r="X136" i="29"/>
  <c r="X137" i="29"/>
  <c r="X138" i="29"/>
  <c r="X139" i="29"/>
  <c r="X140" i="29"/>
  <c r="X141" i="29"/>
  <c r="X142" i="29"/>
  <c r="X143" i="29"/>
  <c r="X144" i="29"/>
  <c r="X145" i="29"/>
  <c r="Y107" i="10"/>
  <c r="F107" i="10" s="1"/>
  <c r="AP61" i="10" s="1"/>
  <c r="T62" i="10"/>
  <c r="W62" i="10"/>
  <c r="J108" i="10"/>
  <c r="T108" i="10"/>
  <c r="R108" i="10"/>
  <c r="W108" i="10"/>
  <c r="X117" i="10" s="1"/>
  <c r="V108" i="10"/>
  <c r="Y61" i="10"/>
  <c r="F61" i="10" s="1"/>
  <c r="V62" i="10"/>
  <c r="R62" i="10"/>
  <c r="N107" i="10"/>
  <c r="J62" i="10"/>
  <c r="G108" i="10"/>
  <c r="L108" i="10"/>
  <c r="E108" i="10"/>
  <c r="D109" i="10"/>
  <c r="I108" i="10"/>
  <c r="G62" i="10"/>
  <c r="I62" i="10"/>
  <c r="D63" i="10"/>
  <c r="K62" i="10"/>
  <c r="L62" i="10"/>
  <c r="AO88" i="29" l="1"/>
  <c r="O72" i="29"/>
  <c r="AE71" i="29"/>
  <c r="AK71" i="29" s="1"/>
  <c r="M52" i="10"/>
  <c r="N52" i="10"/>
  <c r="O52" i="10" s="1"/>
  <c r="M98" i="10"/>
  <c r="N98" i="10"/>
  <c r="O98" i="10" s="1"/>
  <c r="M108" i="10"/>
  <c r="AQ88" i="29"/>
  <c r="H59" i="10"/>
  <c r="N58" i="10"/>
  <c r="M58" i="10"/>
  <c r="AO58" i="10"/>
  <c r="AQ58" i="10" s="1"/>
  <c r="H136" i="29"/>
  <c r="M136" i="29" s="1"/>
  <c r="N135" i="29"/>
  <c r="H89" i="29"/>
  <c r="M89" i="29" s="1"/>
  <c r="N88" i="29"/>
  <c r="AP89" i="29"/>
  <c r="Y136" i="29"/>
  <c r="F136" i="29" s="1"/>
  <c r="AP90" i="29" s="1"/>
  <c r="Y137" i="29"/>
  <c r="F137" i="29" s="1"/>
  <c r="R91" i="29"/>
  <c r="L91" i="29"/>
  <c r="K91" i="29"/>
  <c r="J91" i="29"/>
  <c r="T91" i="29"/>
  <c r="I91" i="29"/>
  <c r="G91" i="29"/>
  <c r="V110" i="29"/>
  <c r="D92" i="29"/>
  <c r="E92" i="29" s="1"/>
  <c r="X90" i="29"/>
  <c r="X91" i="29"/>
  <c r="X92" i="29"/>
  <c r="X93" i="29"/>
  <c r="X94" i="29"/>
  <c r="X95" i="29"/>
  <c r="X96" i="29"/>
  <c r="X97" i="29"/>
  <c r="X98" i="29"/>
  <c r="X99" i="29"/>
  <c r="L138" i="29"/>
  <c r="J138" i="29"/>
  <c r="I138" i="29"/>
  <c r="T138" i="29"/>
  <c r="R138" i="29"/>
  <c r="G138" i="29"/>
  <c r="D139" i="29"/>
  <c r="E139" i="29" s="1"/>
  <c r="V90" i="29"/>
  <c r="V91" i="29"/>
  <c r="V92" i="29"/>
  <c r="V93" i="29"/>
  <c r="V94" i="29"/>
  <c r="V95" i="29"/>
  <c r="V96" i="29"/>
  <c r="V97" i="29"/>
  <c r="V98" i="29"/>
  <c r="V99" i="29"/>
  <c r="V100" i="29"/>
  <c r="V101" i="29"/>
  <c r="V102" i="29"/>
  <c r="V103" i="29"/>
  <c r="V104" i="29"/>
  <c r="V105" i="29"/>
  <c r="V106" i="29"/>
  <c r="V107" i="29"/>
  <c r="V108" i="29"/>
  <c r="X108" i="10"/>
  <c r="Y108" i="10" s="1"/>
  <c r="F108" i="10" s="1"/>
  <c r="AP62" i="10" s="1"/>
  <c r="X109" i="10"/>
  <c r="X111" i="10"/>
  <c r="X110" i="10"/>
  <c r="X112" i="10"/>
  <c r="X113" i="10"/>
  <c r="X114" i="10"/>
  <c r="X115" i="10"/>
  <c r="X116" i="10"/>
  <c r="T63" i="10"/>
  <c r="J109" i="10"/>
  <c r="T109" i="10"/>
  <c r="R109" i="10"/>
  <c r="V109" i="10"/>
  <c r="X62" i="10"/>
  <c r="Y62" i="10" s="1"/>
  <c r="F62" i="10" s="1"/>
  <c r="X64" i="10"/>
  <c r="X63" i="10"/>
  <c r="X65" i="10"/>
  <c r="X66" i="10"/>
  <c r="X67" i="10"/>
  <c r="X68" i="10"/>
  <c r="X69" i="10"/>
  <c r="X70" i="10"/>
  <c r="X71" i="10"/>
  <c r="V63" i="10"/>
  <c r="J63" i="10"/>
  <c r="R63" i="10"/>
  <c r="N108" i="10"/>
  <c r="E109" i="10"/>
  <c r="D110" i="10"/>
  <c r="I109" i="10"/>
  <c r="G109" i="10"/>
  <c r="L109" i="10"/>
  <c r="L63" i="10"/>
  <c r="I63" i="10"/>
  <c r="E63" i="10"/>
  <c r="G63" i="10"/>
  <c r="D64" i="10"/>
  <c r="T64" i="10" s="1"/>
  <c r="K63" i="10"/>
  <c r="AE72" i="29" l="1"/>
  <c r="AK72" i="29" s="1"/>
  <c r="O73" i="29"/>
  <c r="AF52" i="10"/>
  <c r="O99" i="10"/>
  <c r="O53" i="10"/>
  <c r="AE52" i="10"/>
  <c r="AK52" i="10" s="1"/>
  <c r="M109" i="10"/>
  <c r="H90" i="29"/>
  <c r="M90" i="29" s="1"/>
  <c r="AO89" i="29"/>
  <c r="AQ89" i="29" s="1"/>
  <c r="N89" i="29"/>
  <c r="H137" i="29"/>
  <c r="M137" i="29" s="1"/>
  <c r="N136" i="29"/>
  <c r="H60" i="10"/>
  <c r="M59" i="10"/>
  <c r="N59" i="10"/>
  <c r="AO59" i="10"/>
  <c r="AQ59" i="10" s="1"/>
  <c r="Y138" i="29"/>
  <c r="F138" i="29" s="1"/>
  <c r="Y90" i="29"/>
  <c r="F90" i="29" s="1"/>
  <c r="Y91" i="29"/>
  <c r="F91" i="29" s="1"/>
  <c r="L92" i="29"/>
  <c r="K92" i="29"/>
  <c r="J92" i="29"/>
  <c r="I92" i="29"/>
  <c r="D93" i="29"/>
  <c r="E93" i="29" s="1"/>
  <c r="G92" i="29"/>
  <c r="T92" i="29"/>
  <c r="R92" i="29"/>
  <c r="T139" i="29"/>
  <c r="R139" i="29"/>
  <c r="D140" i="29"/>
  <c r="E140" i="29" s="1"/>
  <c r="L139" i="29"/>
  <c r="J139" i="29"/>
  <c r="I139" i="29"/>
  <c r="G139" i="29"/>
  <c r="Y109" i="10"/>
  <c r="F109" i="10" s="1"/>
  <c r="AP63" i="10" s="1"/>
  <c r="J110" i="10"/>
  <c r="T110" i="10"/>
  <c r="R110" i="10"/>
  <c r="V110" i="10"/>
  <c r="Y63" i="10"/>
  <c r="F63" i="10" s="1"/>
  <c r="V64" i="10"/>
  <c r="J64" i="10"/>
  <c r="R64" i="10"/>
  <c r="N109" i="10"/>
  <c r="G110" i="10"/>
  <c r="I110" i="10"/>
  <c r="E110" i="10"/>
  <c r="D111" i="10"/>
  <c r="L110" i="10"/>
  <c r="L64" i="10"/>
  <c r="K64" i="10"/>
  <c r="G64" i="10"/>
  <c r="I64" i="10"/>
  <c r="E64" i="10"/>
  <c r="D65" i="10"/>
  <c r="T65" i="10" s="1"/>
  <c r="AO90" i="29" l="1"/>
  <c r="O74" i="29"/>
  <c r="AE73" i="29"/>
  <c r="AK73" i="29" s="1"/>
  <c r="AE53" i="10"/>
  <c r="AK53" i="10" s="1"/>
  <c r="O54" i="10"/>
  <c r="O100" i="10"/>
  <c r="AF53" i="10"/>
  <c r="M110" i="10"/>
  <c r="AG52" i="10"/>
  <c r="AL52" i="10"/>
  <c r="AQ90" i="29"/>
  <c r="Y139" i="29"/>
  <c r="F139" i="29" s="1"/>
  <c r="H138" i="29"/>
  <c r="M138" i="29" s="1"/>
  <c r="N137" i="29"/>
  <c r="AP91" i="29"/>
  <c r="H61" i="10"/>
  <c r="M60" i="10"/>
  <c r="N60" i="10"/>
  <c r="AO60" i="10"/>
  <c r="AQ60" i="10" s="1"/>
  <c r="H91" i="29"/>
  <c r="M91" i="29" s="1"/>
  <c r="N90" i="29"/>
  <c r="Y92" i="29"/>
  <c r="F92" i="29" s="1"/>
  <c r="J93" i="29"/>
  <c r="I93" i="29"/>
  <c r="D94" i="29"/>
  <c r="E94" i="29" s="1"/>
  <c r="G93" i="29"/>
  <c r="R93" i="29"/>
  <c r="T93" i="29"/>
  <c r="L93" i="29"/>
  <c r="K93" i="29"/>
  <c r="D141" i="29"/>
  <c r="E141" i="29" s="1"/>
  <c r="L140" i="29"/>
  <c r="J140" i="29"/>
  <c r="I140" i="29"/>
  <c r="G140" i="29"/>
  <c r="T140" i="29"/>
  <c r="R140" i="29"/>
  <c r="Y110" i="10"/>
  <c r="F110" i="10" s="1"/>
  <c r="AP64" i="10" s="1"/>
  <c r="Y64" i="10"/>
  <c r="F64" i="10" s="1"/>
  <c r="J111" i="10"/>
  <c r="T111" i="10"/>
  <c r="R111" i="10"/>
  <c r="V111" i="10"/>
  <c r="V65" i="10"/>
  <c r="J65" i="10"/>
  <c r="R65" i="10"/>
  <c r="N110" i="10"/>
  <c r="L111" i="10"/>
  <c r="I111" i="10"/>
  <c r="G111" i="10"/>
  <c r="E111" i="10"/>
  <c r="D112" i="10"/>
  <c r="L65" i="10"/>
  <c r="D66" i="10"/>
  <c r="T66" i="10" s="1"/>
  <c r="E65" i="10"/>
  <c r="K65" i="10"/>
  <c r="G65" i="10"/>
  <c r="I65" i="10"/>
  <c r="O75" i="29" l="1"/>
  <c r="AE74" i="29"/>
  <c r="AK74" i="29" s="1"/>
  <c r="AG53" i="10"/>
  <c r="AH52" i="10" s="1"/>
  <c r="AL53" i="10"/>
  <c r="AF54" i="10"/>
  <c r="O101" i="10"/>
  <c r="AE54" i="10"/>
  <c r="AK54" i="10" s="1"/>
  <c r="O55" i="10"/>
  <c r="M111" i="10"/>
  <c r="H92" i="29"/>
  <c r="M92" i="29" s="1"/>
  <c r="N91" i="29"/>
  <c r="H139" i="29"/>
  <c r="M139" i="29" s="1"/>
  <c r="N138" i="29"/>
  <c r="H62" i="10"/>
  <c r="M61" i="10"/>
  <c r="N61" i="10"/>
  <c r="AO61" i="10"/>
  <c r="AQ61" i="10" s="1"/>
  <c r="Y65" i="10"/>
  <c r="F65" i="10" s="1"/>
  <c r="AO91" i="29"/>
  <c r="AQ91" i="29" s="1"/>
  <c r="AP92" i="29"/>
  <c r="Y140" i="29"/>
  <c r="F140" i="29" s="1"/>
  <c r="D95" i="29"/>
  <c r="E95" i="29" s="1"/>
  <c r="G94" i="29"/>
  <c r="T94" i="29"/>
  <c r="J94" i="29"/>
  <c r="R94" i="29"/>
  <c r="I94" i="29"/>
  <c r="K94" i="29"/>
  <c r="L94" i="29"/>
  <c r="Y93" i="29"/>
  <c r="F93" i="29" s="1"/>
  <c r="I141" i="29"/>
  <c r="G141" i="29"/>
  <c r="D142" i="29"/>
  <c r="E142" i="29" s="1"/>
  <c r="T141" i="29"/>
  <c r="R141" i="29"/>
  <c r="J141" i="29"/>
  <c r="L141" i="29"/>
  <c r="Y111" i="10"/>
  <c r="F111" i="10" s="1"/>
  <c r="AP65" i="10" s="1"/>
  <c r="J112" i="10"/>
  <c r="T112" i="10"/>
  <c r="R112" i="10"/>
  <c r="V112" i="10"/>
  <c r="V66" i="10"/>
  <c r="J66" i="10"/>
  <c r="R66" i="10"/>
  <c r="N111" i="10"/>
  <c r="I112" i="10"/>
  <c r="G112" i="10"/>
  <c r="D113" i="10"/>
  <c r="E112" i="10"/>
  <c r="L112" i="10"/>
  <c r="L66" i="10"/>
  <c r="D67" i="10"/>
  <c r="T67" i="10" s="1"/>
  <c r="I66" i="10"/>
  <c r="E66" i="10"/>
  <c r="G66" i="10"/>
  <c r="K66" i="10"/>
  <c r="AE75" i="29" l="1"/>
  <c r="AK75" i="29" s="1"/>
  <c r="O76" i="29"/>
  <c r="M112" i="10"/>
  <c r="O56" i="10"/>
  <c r="AE55" i="10"/>
  <c r="AK55" i="10" s="1"/>
  <c r="O102" i="10"/>
  <c r="AF55" i="10"/>
  <c r="AL54" i="10"/>
  <c r="AG54" i="10"/>
  <c r="AH53" i="10" s="1"/>
  <c r="AO92" i="29"/>
  <c r="AQ92" i="29" s="1"/>
  <c r="Y66" i="10"/>
  <c r="F66" i="10" s="1"/>
  <c r="H140" i="29"/>
  <c r="M140" i="29" s="1"/>
  <c r="AP93" i="29"/>
  <c r="N139" i="29"/>
  <c r="Y112" i="10"/>
  <c r="F112" i="10" s="1"/>
  <c r="H63" i="10"/>
  <c r="M62" i="10"/>
  <c r="N62" i="10"/>
  <c r="AO62" i="10"/>
  <c r="AQ62" i="10" s="1"/>
  <c r="Y94" i="29"/>
  <c r="F94" i="29" s="1"/>
  <c r="H93" i="29"/>
  <c r="N92" i="29"/>
  <c r="Y141" i="29"/>
  <c r="F141" i="29" s="1"/>
  <c r="L142" i="29"/>
  <c r="J142" i="29"/>
  <c r="I142" i="29"/>
  <c r="T142" i="29"/>
  <c r="R142" i="29"/>
  <c r="G142" i="29"/>
  <c r="D143" i="29"/>
  <c r="E143" i="29" s="1"/>
  <c r="K95" i="29"/>
  <c r="G95" i="29"/>
  <c r="J95" i="29"/>
  <c r="I95" i="29"/>
  <c r="D96" i="29"/>
  <c r="E96" i="29" s="1"/>
  <c r="L95" i="29"/>
  <c r="T95" i="29"/>
  <c r="R95" i="29"/>
  <c r="J113" i="10"/>
  <c r="T113" i="10"/>
  <c r="R113" i="10"/>
  <c r="V113" i="10"/>
  <c r="V67" i="10"/>
  <c r="J67" i="10"/>
  <c r="R67" i="10"/>
  <c r="N112" i="10"/>
  <c r="D114" i="10"/>
  <c r="I113" i="10"/>
  <c r="E113" i="10"/>
  <c r="L113" i="10"/>
  <c r="G113" i="10"/>
  <c r="L67" i="10"/>
  <c r="D68" i="10"/>
  <c r="T68" i="10" s="1"/>
  <c r="K67" i="10"/>
  <c r="G67" i="10"/>
  <c r="E67" i="10"/>
  <c r="I67" i="10"/>
  <c r="O77" i="29" l="1"/>
  <c r="AE76" i="29"/>
  <c r="AK76" i="29" s="1"/>
  <c r="AL55" i="10"/>
  <c r="AG55" i="10"/>
  <c r="AH54" i="10" s="1"/>
  <c r="AF56" i="10"/>
  <c r="O103" i="10"/>
  <c r="AE56" i="10"/>
  <c r="AK56" i="10" s="1"/>
  <c r="O57" i="10"/>
  <c r="M113" i="10"/>
  <c r="AO93" i="29"/>
  <c r="AQ93" i="29" s="1"/>
  <c r="M93" i="29"/>
  <c r="AP66" i="10"/>
  <c r="Y67" i="10"/>
  <c r="F67" i="10" s="1"/>
  <c r="H94" i="29"/>
  <c r="M94" i="29" s="1"/>
  <c r="N93" i="29"/>
  <c r="H141" i="29"/>
  <c r="M141" i="29" s="1"/>
  <c r="AP94" i="29"/>
  <c r="N140" i="29"/>
  <c r="H64" i="10"/>
  <c r="M63" i="10"/>
  <c r="N63" i="10"/>
  <c r="AO63" i="10"/>
  <c r="AQ63" i="10" s="1"/>
  <c r="Y142" i="29"/>
  <c r="F142" i="29" s="1"/>
  <c r="T143" i="29"/>
  <c r="R143" i="29"/>
  <c r="D144" i="29"/>
  <c r="E144" i="29" s="1"/>
  <c r="L143" i="29"/>
  <c r="J143" i="29"/>
  <c r="I143" i="29"/>
  <c r="G143" i="29"/>
  <c r="K96" i="29"/>
  <c r="L96" i="29"/>
  <c r="J96" i="29"/>
  <c r="I96" i="29"/>
  <c r="G96" i="29"/>
  <c r="D97" i="29"/>
  <c r="E97" i="29" s="1"/>
  <c r="T96" i="29"/>
  <c r="R96" i="29"/>
  <c r="Y95" i="29"/>
  <c r="F95" i="29" s="1"/>
  <c r="Y113" i="10"/>
  <c r="F113" i="10" s="1"/>
  <c r="AP67" i="10" s="1"/>
  <c r="J114" i="10"/>
  <c r="T114" i="10"/>
  <c r="R114" i="10"/>
  <c r="V114" i="10"/>
  <c r="V68" i="10"/>
  <c r="J68" i="10"/>
  <c r="R68" i="10"/>
  <c r="N113" i="10"/>
  <c r="L114" i="10"/>
  <c r="G114" i="10"/>
  <c r="D115" i="10"/>
  <c r="I114" i="10"/>
  <c r="E114" i="10"/>
  <c r="L68" i="10"/>
  <c r="K68" i="10"/>
  <c r="D69" i="10"/>
  <c r="T69" i="10" s="1"/>
  <c r="I68" i="10"/>
  <c r="E68" i="10"/>
  <c r="G68" i="10"/>
  <c r="O78" i="29" l="1"/>
  <c r="AE77" i="29"/>
  <c r="AK77" i="29" s="1"/>
  <c r="AF57" i="10"/>
  <c r="O104" i="10"/>
  <c r="AG56" i="10"/>
  <c r="AH55" i="10" s="1"/>
  <c r="AL56" i="10"/>
  <c r="O58" i="10"/>
  <c r="AE57" i="10"/>
  <c r="AK57" i="10" s="1"/>
  <c r="M114" i="10"/>
  <c r="AP95" i="29"/>
  <c r="H65" i="10"/>
  <c r="M64" i="10"/>
  <c r="N64" i="10"/>
  <c r="AO64" i="10"/>
  <c r="AQ64" i="10" s="1"/>
  <c r="H142" i="29"/>
  <c r="M142" i="29" s="1"/>
  <c r="N141" i="29"/>
  <c r="Y143" i="29"/>
  <c r="F143" i="29" s="1"/>
  <c r="H95" i="29"/>
  <c r="M95" i="29" s="1"/>
  <c r="AO94" i="29"/>
  <c r="AQ94" i="29" s="1"/>
  <c r="N94" i="29"/>
  <c r="Y96" i="29"/>
  <c r="F96" i="29" s="1"/>
  <c r="T97" i="29"/>
  <c r="R97" i="29"/>
  <c r="J97" i="29"/>
  <c r="I97" i="29"/>
  <c r="L97" i="29"/>
  <c r="K97" i="29"/>
  <c r="D98" i="29"/>
  <c r="G97" i="29"/>
  <c r="D145" i="29"/>
  <c r="E145" i="29" s="1"/>
  <c r="L144" i="29"/>
  <c r="J144" i="29"/>
  <c r="I144" i="29"/>
  <c r="G144" i="29"/>
  <c r="T144" i="29"/>
  <c r="R144" i="29"/>
  <c r="Y114" i="10"/>
  <c r="F114" i="10" s="1"/>
  <c r="AP68" i="10" s="1"/>
  <c r="J115" i="10"/>
  <c r="T115" i="10"/>
  <c r="R115" i="10"/>
  <c r="V115" i="10"/>
  <c r="Y68" i="10"/>
  <c r="F68" i="10" s="1"/>
  <c r="V69" i="10"/>
  <c r="J69" i="10"/>
  <c r="R69" i="10"/>
  <c r="N114" i="10"/>
  <c r="L115" i="10"/>
  <c r="G115" i="10"/>
  <c r="I115" i="10"/>
  <c r="D116" i="10"/>
  <c r="E115" i="10"/>
  <c r="L69" i="10"/>
  <c r="E69" i="10"/>
  <c r="K69" i="10"/>
  <c r="D70" i="10"/>
  <c r="T70" i="10" s="1"/>
  <c r="I69" i="10"/>
  <c r="G69" i="10"/>
  <c r="E98" i="29" l="1"/>
  <c r="E116" i="29"/>
  <c r="AE78" i="29"/>
  <c r="AK78" i="29" s="1"/>
  <c r="O79" i="29"/>
  <c r="O59" i="10"/>
  <c r="AE58" i="10"/>
  <c r="AK58" i="10" s="1"/>
  <c r="O105" i="10"/>
  <c r="AF58" i="10"/>
  <c r="AL57" i="10"/>
  <c r="AG57" i="10"/>
  <c r="AH56" i="10" s="1"/>
  <c r="Y115" i="10"/>
  <c r="F115" i="10" s="1"/>
  <c r="AP69" i="10" s="1"/>
  <c r="M115" i="10"/>
  <c r="Y69" i="10"/>
  <c r="F69" i="10" s="1"/>
  <c r="H143" i="29"/>
  <c r="M143" i="29" s="1"/>
  <c r="N142" i="29"/>
  <c r="H66" i="10"/>
  <c r="AO65" i="10"/>
  <c r="AQ65" i="10" s="1"/>
  <c r="M65" i="10"/>
  <c r="N65" i="10"/>
  <c r="AP96" i="29"/>
  <c r="H96" i="29"/>
  <c r="M96" i="29" s="1"/>
  <c r="N95" i="29"/>
  <c r="AO95" i="29"/>
  <c r="AQ95" i="29" s="1"/>
  <c r="Y97" i="29"/>
  <c r="F97" i="29" s="1"/>
  <c r="I145" i="29"/>
  <c r="G145" i="29"/>
  <c r="D146" i="29"/>
  <c r="J145" i="29"/>
  <c r="T145" i="29"/>
  <c r="R145" i="29"/>
  <c r="L145" i="29"/>
  <c r="T98" i="29"/>
  <c r="R98" i="29"/>
  <c r="L98" i="29"/>
  <c r="D99" i="29"/>
  <c r="E99" i="29" s="1"/>
  <c r="K98" i="29"/>
  <c r="J98" i="29"/>
  <c r="I98" i="29"/>
  <c r="G98" i="29"/>
  <c r="Y144" i="29"/>
  <c r="F144" i="29" s="1"/>
  <c r="J116" i="10"/>
  <c r="T116" i="10"/>
  <c r="R116" i="10"/>
  <c r="V116" i="10"/>
  <c r="V70" i="10"/>
  <c r="J70" i="10"/>
  <c r="R70" i="10"/>
  <c r="N115" i="10"/>
  <c r="L116" i="10"/>
  <c r="I116" i="10"/>
  <c r="G116" i="10"/>
  <c r="D117" i="10"/>
  <c r="E116" i="10"/>
  <c r="L70" i="10"/>
  <c r="G70" i="10"/>
  <c r="D71" i="10"/>
  <c r="T71" i="10" s="1"/>
  <c r="E70" i="10"/>
  <c r="K70" i="10"/>
  <c r="I70" i="10"/>
  <c r="E146" i="29" l="1"/>
  <c r="W146" i="29"/>
  <c r="M116" i="29"/>
  <c r="N116" i="29"/>
  <c r="O116" i="29" s="1"/>
  <c r="AE79" i="29"/>
  <c r="AK79" i="29" s="1"/>
  <c r="O80" i="29"/>
  <c r="O106" i="10"/>
  <c r="AF59" i="10"/>
  <c r="AG58" i="10"/>
  <c r="AH57" i="10" s="1"/>
  <c r="AL58" i="10"/>
  <c r="AE59" i="10"/>
  <c r="AK59" i="10" s="1"/>
  <c r="O60" i="10"/>
  <c r="M116" i="10"/>
  <c r="Y116" i="10"/>
  <c r="F116" i="10" s="1"/>
  <c r="AP70" i="10" s="1"/>
  <c r="Y145" i="29"/>
  <c r="F145" i="29" s="1"/>
  <c r="H144" i="29"/>
  <c r="M144" i="29" s="1"/>
  <c r="N143" i="29"/>
  <c r="AP97" i="29"/>
  <c r="H67" i="10"/>
  <c r="M66" i="10"/>
  <c r="N66" i="10"/>
  <c r="AO66" i="10"/>
  <c r="AQ66" i="10" s="1"/>
  <c r="H97" i="29"/>
  <c r="M97" i="29" s="1"/>
  <c r="AO96" i="29"/>
  <c r="AQ96" i="29" s="1"/>
  <c r="N96" i="29"/>
  <c r="Y98" i="29"/>
  <c r="F98" i="29" s="1"/>
  <c r="L146" i="29"/>
  <c r="J146" i="29"/>
  <c r="I146" i="29"/>
  <c r="S146" i="29"/>
  <c r="R146" i="29"/>
  <c r="G146" i="29"/>
  <c r="D147" i="29"/>
  <c r="E147" i="29" s="1"/>
  <c r="R99" i="29"/>
  <c r="L99" i="29"/>
  <c r="K99" i="29"/>
  <c r="J99" i="29"/>
  <c r="D100" i="29"/>
  <c r="E100" i="29" s="1"/>
  <c r="T99" i="29"/>
  <c r="I99" i="29"/>
  <c r="G99" i="29"/>
  <c r="J117" i="10"/>
  <c r="T117" i="10"/>
  <c r="R117" i="10"/>
  <c r="V117" i="10"/>
  <c r="Y70" i="10"/>
  <c r="F70" i="10" s="1"/>
  <c r="V71" i="10"/>
  <c r="J71" i="10"/>
  <c r="R71" i="10"/>
  <c r="N116" i="10"/>
  <c r="L117" i="10"/>
  <c r="D118" i="10"/>
  <c r="E118" i="10" s="1"/>
  <c r="E117" i="10"/>
  <c r="G117" i="10"/>
  <c r="I117" i="10"/>
  <c r="L71" i="10"/>
  <c r="K71" i="10"/>
  <c r="D72" i="10"/>
  <c r="E71" i="10"/>
  <c r="G71" i="10"/>
  <c r="I71" i="10"/>
  <c r="O117" i="29" l="1"/>
  <c r="AF70" i="29"/>
  <c r="O81" i="29"/>
  <c r="AE80" i="29"/>
  <c r="AK80" i="29" s="1"/>
  <c r="AG59" i="10"/>
  <c r="AH58" i="10" s="1"/>
  <c r="AL59" i="10"/>
  <c r="AE60" i="10"/>
  <c r="AK60" i="10" s="1"/>
  <c r="O61" i="10"/>
  <c r="AF60" i="10"/>
  <c r="O107" i="10"/>
  <c r="M117" i="10"/>
  <c r="AO97" i="29"/>
  <c r="AQ97" i="29" s="1"/>
  <c r="AP98" i="29"/>
  <c r="Y117" i="10"/>
  <c r="F117" i="10" s="1"/>
  <c r="AP71" i="10" s="1"/>
  <c r="H145" i="29"/>
  <c r="M145" i="29" s="1"/>
  <c r="N144" i="29"/>
  <c r="H68" i="10"/>
  <c r="AO67" i="10"/>
  <c r="AQ67" i="10" s="1"/>
  <c r="N67" i="10"/>
  <c r="M67" i="10"/>
  <c r="H98" i="29"/>
  <c r="M98" i="29" s="1"/>
  <c r="N97" i="29"/>
  <c r="Y99" i="29"/>
  <c r="F99" i="29" s="1"/>
  <c r="X146" i="29"/>
  <c r="X147" i="29"/>
  <c r="X148" i="29"/>
  <c r="X149" i="29"/>
  <c r="X150" i="29"/>
  <c r="X151" i="29"/>
  <c r="X152" i="29"/>
  <c r="X153" i="29"/>
  <c r="X154" i="29"/>
  <c r="X155" i="29"/>
  <c r="X156" i="29"/>
  <c r="L147" i="29"/>
  <c r="R147" i="29"/>
  <c r="D148" i="29"/>
  <c r="E148" i="29" s="1"/>
  <c r="J147" i="29"/>
  <c r="I147" i="29"/>
  <c r="G147" i="29"/>
  <c r="L100" i="29"/>
  <c r="K100" i="29"/>
  <c r="J100" i="29"/>
  <c r="D101" i="29"/>
  <c r="E101" i="29" s="1"/>
  <c r="I100" i="29"/>
  <c r="G100" i="29"/>
  <c r="R100" i="29"/>
  <c r="W100" i="29"/>
  <c r="S100" i="29"/>
  <c r="T146" i="29"/>
  <c r="T147" i="29"/>
  <c r="T148" i="29"/>
  <c r="T149" i="29"/>
  <c r="T150" i="29"/>
  <c r="T151" i="29"/>
  <c r="T152" i="29"/>
  <c r="T153" i="29"/>
  <c r="T154" i="29"/>
  <c r="T155" i="29"/>
  <c r="T156" i="29"/>
  <c r="T118" i="10"/>
  <c r="R118" i="10"/>
  <c r="W118" i="10"/>
  <c r="U118" i="10"/>
  <c r="V137" i="10" s="1"/>
  <c r="T72" i="10"/>
  <c r="W72" i="10"/>
  <c r="U72" i="10"/>
  <c r="Y71" i="10"/>
  <c r="F71" i="10" s="1"/>
  <c r="J72" i="10"/>
  <c r="R72" i="10"/>
  <c r="E72" i="10"/>
  <c r="J118" i="10"/>
  <c r="N117" i="10"/>
  <c r="L118" i="10"/>
  <c r="D119" i="10"/>
  <c r="G118" i="10"/>
  <c r="I118" i="10"/>
  <c r="G72" i="10"/>
  <c r="I72" i="10"/>
  <c r="D73" i="10"/>
  <c r="K72" i="10"/>
  <c r="L72" i="10"/>
  <c r="M118" i="10" l="1"/>
  <c r="AL70" i="29"/>
  <c r="AG70" i="29"/>
  <c r="O118" i="29"/>
  <c r="AF71" i="29"/>
  <c r="O82" i="29"/>
  <c r="AE81" i="29"/>
  <c r="AK81" i="29" s="1"/>
  <c r="AL60" i="10"/>
  <c r="AG60" i="10"/>
  <c r="AH59" i="10" s="1"/>
  <c r="O62" i="10"/>
  <c r="AE61" i="10"/>
  <c r="AK61" i="10" s="1"/>
  <c r="AF61" i="10"/>
  <c r="O108" i="10"/>
  <c r="Y146" i="29"/>
  <c r="F146" i="29" s="1"/>
  <c r="Y147" i="29"/>
  <c r="F147" i="29" s="1"/>
  <c r="H99" i="29"/>
  <c r="M99" i="29" s="1"/>
  <c r="N98" i="29"/>
  <c r="AO98" i="29"/>
  <c r="AQ98" i="29" s="1"/>
  <c r="H69" i="10"/>
  <c r="N68" i="10"/>
  <c r="M68" i="10"/>
  <c r="AO68" i="10"/>
  <c r="AQ68" i="10" s="1"/>
  <c r="H146" i="29"/>
  <c r="M146" i="29" s="1"/>
  <c r="N145" i="29"/>
  <c r="AP99" i="29"/>
  <c r="D149" i="29"/>
  <c r="E149" i="29" s="1"/>
  <c r="L148" i="29"/>
  <c r="J148" i="29"/>
  <c r="I148" i="29"/>
  <c r="G148" i="29"/>
  <c r="R148" i="29"/>
  <c r="Y148" i="29" s="1"/>
  <c r="F148" i="29" s="1"/>
  <c r="T100" i="29"/>
  <c r="T101" i="29"/>
  <c r="T102" i="29"/>
  <c r="T103" i="29"/>
  <c r="T104" i="29"/>
  <c r="T105" i="29"/>
  <c r="T106" i="29"/>
  <c r="T107" i="29"/>
  <c r="T108" i="29"/>
  <c r="T109" i="29"/>
  <c r="T110" i="29"/>
  <c r="X100" i="29"/>
  <c r="X101" i="29"/>
  <c r="X102" i="29"/>
  <c r="X103" i="29"/>
  <c r="X104" i="29"/>
  <c r="X105" i="29"/>
  <c r="X106" i="29"/>
  <c r="X107" i="29"/>
  <c r="X108" i="29"/>
  <c r="X109" i="29"/>
  <c r="X110" i="29"/>
  <c r="D102" i="29"/>
  <c r="E102" i="29" s="1"/>
  <c r="G101" i="29"/>
  <c r="R101" i="29"/>
  <c r="L101" i="29"/>
  <c r="K101" i="29"/>
  <c r="J101" i="29"/>
  <c r="I101" i="29"/>
  <c r="V120" i="10"/>
  <c r="V122" i="10"/>
  <c r="V118" i="10"/>
  <c r="V121" i="10"/>
  <c r="V119" i="10"/>
  <c r="V123" i="10"/>
  <c r="V124" i="10"/>
  <c r="V125" i="10"/>
  <c r="V126" i="10"/>
  <c r="V127" i="10"/>
  <c r="V128" i="10"/>
  <c r="V129" i="10"/>
  <c r="V130" i="10"/>
  <c r="V131" i="10"/>
  <c r="V132" i="10"/>
  <c r="V133" i="10"/>
  <c r="V134" i="10"/>
  <c r="V135" i="10"/>
  <c r="V136" i="10"/>
  <c r="J119" i="10"/>
  <c r="T119" i="10"/>
  <c r="R119" i="10"/>
  <c r="V138" i="10"/>
  <c r="X118" i="10"/>
  <c r="X120" i="10"/>
  <c r="X119" i="10"/>
  <c r="X122" i="10"/>
  <c r="X121" i="10"/>
  <c r="X123" i="10"/>
  <c r="X124" i="10"/>
  <c r="X125" i="10"/>
  <c r="X126" i="10"/>
  <c r="X127" i="10"/>
  <c r="V92" i="10"/>
  <c r="T73" i="10"/>
  <c r="X72" i="10"/>
  <c r="X74" i="10"/>
  <c r="X73" i="10"/>
  <c r="X75" i="10"/>
  <c r="X76" i="10"/>
  <c r="X77" i="10"/>
  <c r="X78" i="10"/>
  <c r="X79" i="10"/>
  <c r="X80" i="10"/>
  <c r="X81" i="10"/>
  <c r="V72" i="10"/>
  <c r="V74" i="10"/>
  <c r="V73" i="10"/>
  <c r="V75" i="10"/>
  <c r="V76" i="10"/>
  <c r="V77" i="10"/>
  <c r="V78" i="10"/>
  <c r="V79" i="10"/>
  <c r="V80" i="10"/>
  <c r="V81" i="10"/>
  <c r="V82" i="10"/>
  <c r="V83" i="10"/>
  <c r="V84" i="10"/>
  <c r="V85" i="10"/>
  <c r="V86" i="10"/>
  <c r="V87" i="10"/>
  <c r="V88" i="10"/>
  <c r="V89" i="10"/>
  <c r="V90" i="10"/>
  <c r="V91" i="10"/>
  <c r="J73" i="10"/>
  <c r="R73" i="10"/>
  <c r="N118" i="10"/>
  <c r="G119" i="10"/>
  <c r="L119" i="10"/>
  <c r="D120" i="10"/>
  <c r="E119" i="10"/>
  <c r="I119" i="10"/>
  <c r="L73" i="10"/>
  <c r="G73" i="10"/>
  <c r="E73" i="10"/>
  <c r="K73" i="10"/>
  <c r="I73" i="10"/>
  <c r="D74" i="10"/>
  <c r="T74" i="10" s="1"/>
  <c r="AL71" i="29" l="1"/>
  <c r="AG71" i="29"/>
  <c r="AH70" i="29" s="1"/>
  <c r="O119" i="29"/>
  <c r="AF72" i="29"/>
  <c r="O83" i="29"/>
  <c r="AE82" i="29"/>
  <c r="AK82" i="29" s="1"/>
  <c r="O109" i="10"/>
  <c r="AF62" i="10"/>
  <c r="AG61" i="10"/>
  <c r="AH60" i="10" s="1"/>
  <c r="AL61" i="10"/>
  <c r="AE62" i="10"/>
  <c r="AK62" i="10" s="1"/>
  <c r="O63" i="10"/>
  <c r="M119" i="10"/>
  <c r="AP100" i="29"/>
  <c r="H147" i="29"/>
  <c r="M147" i="29" s="1"/>
  <c r="N146" i="29"/>
  <c r="H70" i="10"/>
  <c r="N69" i="10"/>
  <c r="M69" i="10"/>
  <c r="AO69" i="10"/>
  <c r="AQ69" i="10" s="1"/>
  <c r="H100" i="29"/>
  <c r="M100" i="29" s="1"/>
  <c r="N99" i="29"/>
  <c r="AO99" i="29"/>
  <c r="AQ99" i="29" s="1"/>
  <c r="Y101" i="29"/>
  <c r="F101" i="29" s="1"/>
  <c r="Y100" i="29"/>
  <c r="F100" i="29" s="1"/>
  <c r="G149" i="29"/>
  <c r="R149" i="29"/>
  <c r="Y149" i="29" s="1"/>
  <c r="F149" i="29" s="1"/>
  <c r="D150" i="29"/>
  <c r="E150" i="29" s="1"/>
  <c r="L149" i="29"/>
  <c r="I149" i="29"/>
  <c r="J149" i="29"/>
  <c r="R102" i="29"/>
  <c r="Y102" i="29" s="1"/>
  <c r="F102" i="29" s="1"/>
  <c r="J102" i="29"/>
  <c r="I102" i="29"/>
  <c r="L102" i="29"/>
  <c r="K102" i="29"/>
  <c r="D103" i="29"/>
  <c r="E103" i="29" s="1"/>
  <c r="G102" i="29"/>
  <c r="Y118" i="10"/>
  <c r="F118" i="10" s="1"/>
  <c r="Y119" i="10"/>
  <c r="F119" i="10" s="1"/>
  <c r="AP73" i="10" s="1"/>
  <c r="J120" i="10"/>
  <c r="T120" i="10"/>
  <c r="R120" i="10"/>
  <c r="Y73" i="10"/>
  <c r="F73" i="10" s="1"/>
  <c r="Y72" i="10"/>
  <c r="F72" i="10" s="1"/>
  <c r="J74" i="10"/>
  <c r="R74" i="10"/>
  <c r="Y74" i="10" s="1"/>
  <c r="F74" i="10" s="1"/>
  <c r="N119" i="10"/>
  <c r="D121" i="10"/>
  <c r="L120" i="10"/>
  <c r="G120" i="10"/>
  <c r="I120" i="10"/>
  <c r="E120" i="10"/>
  <c r="L74" i="10"/>
  <c r="G74" i="10"/>
  <c r="E74" i="10"/>
  <c r="K74" i="10"/>
  <c r="D75" i="10"/>
  <c r="T75" i="10" s="1"/>
  <c r="I74" i="10"/>
  <c r="AL72" i="29" l="1"/>
  <c r="AG72" i="29"/>
  <c r="AH71" i="29" s="1"/>
  <c r="AF73" i="29"/>
  <c r="O120" i="29"/>
  <c r="O84" i="29"/>
  <c r="AE83" i="29"/>
  <c r="AK83" i="29" s="1"/>
  <c r="O64" i="10"/>
  <c r="AE63" i="10"/>
  <c r="AK63" i="10" s="1"/>
  <c r="AG62" i="10"/>
  <c r="AH61" i="10" s="1"/>
  <c r="AL62" i="10"/>
  <c r="AF63" i="10"/>
  <c r="O110" i="10"/>
  <c r="M120" i="10"/>
  <c r="AO100" i="29"/>
  <c r="AQ100" i="29" s="1"/>
  <c r="H148" i="29"/>
  <c r="M148" i="29" s="1"/>
  <c r="N147" i="29"/>
  <c r="AP101" i="29"/>
  <c r="H101" i="29"/>
  <c r="M101" i="29" s="1"/>
  <c r="N100" i="29"/>
  <c r="H71" i="10"/>
  <c r="M70" i="10"/>
  <c r="N70" i="10"/>
  <c r="AO70" i="10"/>
  <c r="AQ70" i="10" s="1"/>
  <c r="L150" i="29"/>
  <c r="J150" i="29"/>
  <c r="I150" i="29"/>
  <c r="G150" i="29"/>
  <c r="R150" i="29"/>
  <c r="Y150" i="29" s="1"/>
  <c r="F150" i="29" s="1"/>
  <c r="D151" i="29"/>
  <c r="E151" i="29" s="1"/>
  <c r="D104" i="29"/>
  <c r="E104" i="29" s="1"/>
  <c r="R103" i="29"/>
  <c r="Y103" i="29" s="1"/>
  <c r="F103" i="29" s="1"/>
  <c r="L103" i="29"/>
  <c r="K103" i="29"/>
  <c r="J103" i="29"/>
  <c r="I103" i="29"/>
  <c r="G103" i="29"/>
  <c r="AP72" i="10"/>
  <c r="Y120" i="10"/>
  <c r="F120" i="10" s="1"/>
  <c r="AP74" i="10" s="1"/>
  <c r="J121" i="10"/>
  <c r="T121" i="10"/>
  <c r="R121" i="10"/>
  <c r="J75" i="10"/>
  <c r="R75" i="10"/>
  <c r="Y75" i="10" s="1"/>
  <c r="F75" i="10" s="1"/>
  <c r="N120" i="10"/>
  <c r="E121" i="10"/>
  <c r="I121" i="10"/>
  <c r="D122" i="10"/>
  <c r="L121" i="10"/>
  <c r="G121" i="10"/>
  <c r="L75" i="10"/>
  <c r="I75" i="10"/>
  <c r="G75" i="10"/>
  <c r="E75" i="10"/>
  <c r="K75" i="10"/>
  <c r="D76" i="10"/>
  <c r="T76" i="10" s="1"/>
  <c r="O121" i="29" l="1"/>
  <c r="AF74" i="29"/>
  <c r="AL73" i="29"/>
  <c r="AG73" i="29"/>
  <c r="AE84" i="29"/>
  <c r="AK84" i="29" s="1"/>
  <c r="O85" i="29"/>
  <c r="AG63" i="10"/>
  <c r="AH62" i="10" s="1"/>
  <c r="AL63" i="10"/>
  <c r="AF64" i="10"/>
  <c r="O111" i="10"/>
  <c r="O65" i="10"/>
  <c r="AE64" i="10"/>
  <c r="AK64" i="10" s="1"/>
  <c r="M121" i="10"/>
  <c r="H72" i="10"/>
  <c r="N71" i="10"/>
  <c r="M71" i="10"/>
  <c r="AO71" i="10"/>
  <c r="AQ71" i="10" s="1"/>
  <c r="H102" i="29"/>
  <c r="M102" i="29" s="1"/>
  <c r="N101" i="29"/>
  <c r="H149" i="29"/>
  <c r="M149" i="29" s="1"/>
  <c r="AP102" i="29"/>
  <c r="N148" i="29"/>
  <c r="AO101" i="29"/>
  <c r="AQ101" i="29" s="1"/>
  <c r="L151" i="29"/>
  <c r="R151" i="29"/>
  <c r="Y151" i="29" s="1"/>
  <c r="F151" i="29" s="1"/>
  <c r="D152" i="29"/>
  <c r="E152" i="29" s="1"/>
  <c r="J151" i="29"/>
  <c r="I151" i="29"/>
  <c r="G151" i="29"/>
  <c r="D105" i="29"/>
  <c r="E105" i="29" s="1"/>
  <c r="L104" i="29"/>
  <c r="K104" i="29"/>
  <c r="J104" i="29"/>
  <c r="I104" i="29"/>
  <c r="G104" i="29"/>
  <c r="R104" i="29"/>
  <c r="Y104" i="29" s="1"/>
  <c r="F104" i="29" s="1"/>
  <c r="J122" i="10"/>
  <c r="T122" i="10"/>
  <c r="R122" i="10"/>
  <c r="Y121" i="10"/>
  <c r="F121" i="10" s="1"/>
  <c r="AP75" i="10" s="1"/>
  <c r="J76" i="10"/>
  <c r="R76" i="10"/>
  <c r="Y76" i="10" s="1"/>
  <c r="F76" i="10" s="1"/>
  <c r="N121" i="10"/>
  <c r="L122" i="10"/>
  <c r="G122" i="10"/>
  <c r="I122" i="10"/>
  <c r="D123" i="10"/>
  <c r="E122" i="10"/>
  <c r="L76" i="10"/>
  <c r="I76" i="10"/>
  <c r="G76" i="10"/>
  <c r="E76" i="10"/>
  <c r="K76" i="10"/>
  <c r="D77" i="10"/>
  <c r="T77" i="10" s="1"/>
  <c r="AH72" i="29" l="1"/>
  <c r="AL74" i="29"/>
  <c r="AG74" i="29"/>
  <c r="O122" i="29"/>
  <c r="AF75" i="29"/>
  <c r="AE85" i="29"/>
  <c r="AK85" i="29" s="1"/>
  <c r="O86" i="29"/>
  <c r="M122" i="10"/>
  <c r="O66" i="10"/>
  <c r="AE65" i="10"/>
  <c r="AK65" i="10" s="1"/>
  <c r="AF65" i="10"/>
  <c r="O112" i="10"/>
  <c r="AL64" i="10"/>
  <c r="AG64" i="10"/>
  <c r="AH63" i="10" s="1"/>
  <c r="Y122" i="10"/>
  <c r="F122" i="10" s="1"/>
  <c r="H150" i="29"/>
  <c r="M150" i="29" s="1"/>
  <c r="N149" i="29"/>
  <c r="AP103" i="29"/>
  <c r="H103" i="29"/>
  <c r="M103" i="29" s="1"/>
  <c r="N102" i="29"/>
  <c r="AO102" i="29"/>
  <c r="AQ102" i="29" s="1"/>
  <c r="H73" i="10"/>
  <c r="M72" i="10"/>
  <c r="N72" i="10"/>
  <c r="AO72" i="10"/>
  <c r="AQ72" i="10" s="1"/>
  <c r="D153" i="29"/>
  <c r="E153" i="29" s="1"/>
  <c r="L152" i="29"/>
  <c r="J152" i="29"/>
  <c r="I152" i="29"/>
  <c r="G152" i="29"/>
  <c r="R152" i="29"/>
  <c r="Y152" i="29" s="1"/>
  <c r="F152" i="29" s="1"/>
  <c r="R105" i="29"/>
  <c r="Y105" i="29" s="1"/>
  <c r="F105" i="29" s="1"/>
  <c r="G105" i="29"/>
  <c r="D106" i="29"/>
  <c r="E106" i="29" s="1"/>
  <c r="K105" i="29"/>
  <c r="I105" i="29"/>
  <c r="J105" i="29"/>
  <c r="L105" i="29"/>
  <c r="J123" i="10"/>
  <c r="T123" i="10"/>
  <c r="R123" i="10"/>
  <c r="J77" i="10"/>
  <c r="R77" i="10"/>
  <c r="Y77" i="10" s="1"/>
  <c r="F77" i="10" s="1"/>
  <c r="N122" i="10"/>
  <c r="I123" i="10"/>
  <c r="D124" i="10"/>
  <c r="G123" i="10"/>
  <c r="L123" i="10"/>
  <c r="E123" i="10"/>
  <c r="L77" i="10"/>
  <c r="D78" i="10"/>
  <c r="T78" i="10" s="1"/>
  <c r="E77" i="10"/>
  <c r="I77" i="10"/>
  <c r="K77" i="10"/>
  <c r="G77" i="10"/>
  <c r="AL75" i="29" l="1"/>
  <c r="AG75" i="29"/>
  <c r="AH74" i="29" s="1"/>
  <c r="O123" i="29"/>
  <c r="AF76" i="29"/>
  <c r="AH73" i="29"/>
  <c r="O87" i="29"/>
  <c r="AE86" i="29"/>
  <c r="AK86" i="29" s="1"/>
  <c r="O113" i="10"/>
  <c r="AF66" i="10"/>
  <c r="AL65" i="10"/>
  <c r="AG65" i="10"/>
  <c r="AH64" i="10" s="1"/>
  <c r="O67" i="10"/>
  <c r="AE66" i="10"/>
  <c r="AK66" i="10" s="1"/>
  <c r="M123" i="10"/>
  <c r="Y123" i="10"/>
  <c r="F123" i="10" s="1"/>
  <c r="AP77" i="10" s="1"/>
  <c r="AP76" i="10"/>
  <c r="H74" i="10"/>
  <c r="N73" i="10"/>
  <c r="M73" i="10"/>
  <c r="AO73" i="10"/>
  <c r="AQ73" i="10" s="1"/>
  <c r="H104" i="29"/>
  <c r="M104" i="29" s="1"/>
  <c r="N103" i="29"/>
  <c r="AO103" i="29"/>
  <c r="AQ103" i="29" s="1"/>
  <c r="H151" i="29"/>
  <c r="M151" i="29" s="1"/>
  <c r="N150" i="29"/>
  <c r="AP104" i="29"/>
  <c r="R106" i="29"/>
  <c r="Y106" i="29" s="1"/>
  <c r="F106" i="29" s="1"/>
  <c r="L106" i="29"/>
  <c r="K106" i="29"/>
  <c r="J106" i="29"/>
  <c r="I106" i="29"/>
  <c r="G106" i="29"/>
  <c r="D107" i="29"/>
  <c r="E107" i="29" s="1"/>
  <c r="G153" i="29"/>
  <c r="R153" i="29"/>
  <c r="Y153" i="29" s="1"/>
  <c r="F153" i="29" s="1"/>
  <c r="D154" i="29"/>
  <c r="E154" i="29" s="1"/>
  <c r="I153" i="29"/>
  <c r="L153" i="29"/>
  <c r="J153" i="29"/>
  <c r="J124" i="10"/>
  <c r="T124" i="10"/>
  <c r="R124" i="10"/>
  <c r="J78" i="10"/>
  <c r="R78" i="10"/>
  <c r="Y78" i="10" s="1"/>
  <c r="F78" i="10" s="1"/>
  <c r="N123" i="10"/>
  <c r="I124" i="10"/>
  <c r="L124" i="10"/>
  <c r="D125" i="10"/>
  <c r="E124" i="10"/>
  <c r="G124" i="10"/>
  <c r="L78" i="10"/>
  <c r="I78" i="10"/>
  <c r="D79" i="10"/>
  <c r="T79" i="10" s="1"/>
  <c r="E78" i="10"/>
  <c r="K78" i="10"/>
  <c r="G78" i="10"/>
  <c r="AL76" i="29" l="1"/>
  <c r="AG76" i="29"/>
  <c r="AH75" i="29" s="1"/>
  <c r="AF77" i="29"/>
  <c r="O124" i="29"/>
  <c r="AE87" i="29"/>
  <c r="AK87" i="29" s="1"/>
  <c r="O88" i="29"/>
  <c r="AL66" i="10"/>
  <c r="AG66" i="10"/>
  <c r="AH65" i="10" s="1"/>
  <c r="O68" i="10"/>
  <c r="AE67" i="10"/>
  <c r="AK67" i="10" s="1"/>
  <c r="O114" i="10"/>
  <c r="AF67" i="10"/>
  <c r="M124" i="10"/>
  <c r="Y124" i="10"/>
  <c r="F124" i="10" s="1"/>
  <c r="AP78" i="10" s="1"/>
  <c r="H152" i="29"/>
  <c r="M152" i="29" s="1"/>
  <c r="AP105" i="29"/>
  <c r="N151" i="29"/>
  <c r="H105" i="29"/>
  <c r="M105" i="29" s="1"/>
  <c r="N104" i="29"/>
  <c r="AO104" i="29"/>
  <c r="AQ104" i="29" s="1"/>
  <c r="H75" i="10"/>
  <c r="AO74" i="10"/>
  <c r="AQ74" i="10" s="1"/>
  <c r="M74" i="10"/>
  <c r="N74" i="10"/>
  <c r="L154" i="29"/>
  <c r="J154" i="29"/>
  <c r="I154" i="29"/>
  <c r="G154" i="29"/>
  <c r="R154" i="29"/>
  <c r="Y154" i="29" s="1"/>
  <c r="F154" i="29" s="1"/>
  <c r="D155" i="29"/>
  <c r="E155" i="29" s="1"/>
  <c r="D108" i="29"/>
  <c r="E108" i="29" s="1"/>
  <c r="L107" i="29"/>
  <c r="K107" i="29"/>
  <c r="J107" i="29"/>
  <c r="I107" i="29"/>
  <c r="R107" i="29"/>
  <c r="Y107" i="29" s="1"/>
  <c r="F107" i="29" s="1"/>
  <c r="G107" i="29"/>
  <c r="J125" i="10"/>
  <c r="T125" i="10"/>
  <c r="R125" i="10"/>
  <c r="J79" i="10"/>
  <c r="R79" i="10"/>
  <c r="Y79" i="10" s="1"/>
  <c r="F79" i="10" s="1"/>
  <c r="N124" i="10"/>
  <c r="L125" i="10"/>
  <c r="I125" i="10"/>
  <c r="G125" i="10"/>
  <c r="D126" i="10"/>
  <c r="E125" i="10"/>
  <c r="L79" i="10"/>
  <c r="D80" i="10"/>
  <c r="T80" i="10" s="1"/>
  <c r="E79" i="10"/>
  <c r="G79" i="10"/>
  <c r="K79" i="10"/>
  <c r="I79" i="10"/>
  <c r="O125" i="29" l="1"/>
  <c r="AF78" i="29"/>
  <c r="AL77" i="29"/>
  <c r="AG77" i="29"/>
  <c r="O89" i="29"/>
  <c r="AE88" i="29"/>
  <c r="AK88" i="29" s="1"/>
  <c r="AL67" i="10"/>
  <c r="AG67" i="10"/>
  <c r="AH66" i="10" s="1"/>
  <c r="O115" i="10"/>
  <c r="AF68" i="10"/>
  <c r="O69" i="10"/>
  <c r="AE68" i="10"/>
  <c r="AK68" i="10" s="1"/>
  <c r="M125" i="10"/>
  <c r="Y125" i="10"/>
  <c r="F125" i="10" s="1"/>
  <c r="H76" i="10"/>
  <c r="N75" i="10"/>
  <c r="M75" i="10"/>
  <c r="AO75" i="10"/>
  <c r="AQ75" i="10" s="1"/>
  <c r="H106" i="29"/>
  <c r="M106" i="29" s="1"/>
  <c r="AO105" i="29"/>
  <c r="AQ105" i="29" s="1"/>
  <c r="N105" i="29"/>
  <c r="H153" i="29"/>
  <c r="M153" i="29" s="1"/>
  <c r="AP106" i="29"/>
  <c r="N152" i="29"/>
  <c r="K108" i="29"/>
  <c r="J108" i="29"/>
  <c r="I108" i="29"/>
  <c r="D109" i="29"/>
  <c r="E109" i="29" s="1"/>
  <c r="G108" i="29"/>
  <c r="R108" i="29"/>
  <c r="Y108" i="29" s="1"/>
  <c r="F108" i="29" s="1"/>
  <c r="L108" i="29"/>
  <c r="L155" i="29"/>
  <c r="R155" i="29"/>
  <c r="Y155" i="29" s="1"/>
  <c r="F155" i="29" s="1"/>
  <c r="D156" i="29"/>
  <c r="E156" i="29" s="1"/>
  <c r="J155" i="29"/>
  <c r="I155" i="29"/>
  <c r="G155" i="29"/>
  <c r="J126" i="10"/>
  <c r="T126" i="10"/>
  <c r="R126" i="10"/>
  <c r="J80" i="10"/>
  <c r="R80" i="10"/>
  <c r="Y80" i="10" s="1"/>
  <c r="F80" i="10" s="1"/>
  <c r="N125" i="10"/>
  <c r="G126" i="10"/>
  <c r="E126" i="10"/>
  <c r="I126" i="10"/>
  <c r="L126" i="10"/>
  <c r="D127" i="10"/>
  <c r="L80" i="10"/>
  <c r="E80" i="10"/>
  <c r="D81" i="10"/>
  <c r="T81" i="10" s="1"/>
  <c r="G80" i="10"/>
  <c r="I80" i="10"/>
  <c r="K80" i="10"/>
  <c r="AH76" i="29" l="1"/>
  <c r="AL78" i="29"/>
  <c r="AG78" i="29"/>
  <c r="O126" i="29"/>
  <c r="AF79" i="29"/>
  <c r="AE89" i="29"/>
  <c r="AK89" i="29" s="1"/>
  <c r="O90" i="29"/>
  <c r="AE69" i="10"/>
  <c r="AK69" i="10" s="1"/>
  <c r="O70" i="10"/>
  <c r="AL68" i="10"/>
  <c r="AG68" i="10"/>
  <c r="AH67" i="10" s="1"/>
  <c r="O116" i="10"/>
  <c r="AF69" i="10"/>
  <c r="M126" i="10"/>
  <c r="AP79" i="10"/>
  <c r="H154" i="29"/>
  <c r="M154" i="29" s="1"/>
  <c r="AP107" i="29"/>
  <c r="N153" i="29"/>
  <c r="H107" i="29"/>
  <c r="M107" i="29" s="1"/>
  <c r="AO106" i="29"/>
  <c r="AQ106" i="29" s="1"/>
  <c r="N106" i="29"/>
  <c r="H77" i="10"/>
  <c r="M76" i="10"/>
  <c r="N76" i="10"/>
  <c r="AO76" i="10"/>
  <c r="AQ76" i="10" s="1"/>
  <c r="D110" i="29"/>
  <c r="G109" i="29"/>
  <c r="R109" i="29"/>
  <c r="Y109" i="29" s="1"/>
  <c r="F109" i="29" s="1"/>
  <c r="K109" i="29"/>
  <c r="L109" i="29"/>
  <c r="J109" i="29"/>
  <c r="I109" i="29"/>
  <c r="R156" i="29"/>
  <c r="Y156" i="29" s="1"/>
  <c r="F156" i="29" s="1"/>
  <c r="L156" i="29"/>
  <c r="L157" i="29" s="1"/>
  <c r="J156" i="29"/>
  <c r="I156" i="29"/>
  <c r="G156" i="29"/>
  <c r="Y126" i="10"/>
  <c r="F126" i="10" s="1"/>
  <c r="AP80" i="10" s="1"/>
  <c r="J127" i="10"/>
  <c r="T127" i="10"/>
  <c r="R127" i="10"/>
  <c r="J81" i="10"/>
  <c r="R81" i="10"/>
  <c r="Y81" i="10" s="1"/>
  <c r="F81" i="10" s="1"/>
  <c r="N126" i="10"/>
  <c r="G127" i="10"/>
  <c r="E127" i="10"/>
  <c r="D128" i="10"/>
  <c r="L127" i="10"/>
  <c r="I127" i="10"/>
  <c r="L81" i="10"/>
  <c r="E81" i="10"/>
  <c r="K81" i="10"/>
  <c r="D82" i="10"/>
  <c r="G81" i="10"/>
  <c r="I81" i="10"/>
  <c r="AL79" i="29" l="1"/>
  <c r="AG79" i="29"/>
  <c r="AH78" i="29" s="1"/>
  <c r="AF80" i="29"/>
  <c r="O127" i="29"/>
  <c r="AH77" i="29"/>
  <c r="AE90" i="29"/>
  <c r="AK90" i="29" s="1"/>
  <c r="O91" i="29"/>
  <c r="AG69" i="10"/>
  <c r="AH68" i="10" s="1"/>
  <c r="AL69" i="10"/>
  <c r="AE70" i="10"/>
  <c r="AK70" i="10" s="1"/>
  <c r="O71" i="10"/>
  <c r="AF70" i="10"/>
  <c r="O117" i="10"/>
  <c r="M127" i="10"/>
  <c r="Y127" i="10"/>
  <c r="F127" i="10" s="1"/>
  <c r="AP81" i="10" s="1"/>
  <c r="H78" i="10"/>
  <c r="M77" i="10"/>
  <c r="N77" i="10"/>
  <c r="AO77" i="10"/>
  <c r="AQ77" i="10" s="1"/>
  <c r="H108" i="29"/>
  <c r="M108" i="29" s="1"/>
  <c r="N107" i="29"/>
  <c r="AO107" i="29"/>
  <c r="AQ107" i="29" s="1"/>
  <c r="H155" i="29"/>
  <c r="M155" i="29" s="1"/>
  <c r="N154" i="29"/>
  <c r="AP108" i="29"/>
  <c r="L110" i="29"/>
  <c r="L111" i="29" s="1"/>
  <c r="K110" i="29"/>
  <c r="K111" i="29" s="1"/>
  <c r="J110" i="29"/>
  <c r="I110" i="29"/>
  <c r="G110" i="29"/>
  <c r="R110" i="29"/>
  <c r="Y110" i="29" s="1"/>
  <c r="F110" i="29" s="1"/>
  <c r="S82" i="10"/>
  <c r="W82" i="10"/>
  <c r="X89" i="10" s="1"/>
  <c r="S128" i="10"/>
  <c r="W128" i="10"/>
  <c r="R128" i="10"/>
  <c r="J82" i="10"/>
  <c r="R82" i="10"/>
  <c r="J128" i="10"/>
  <c r="L128" i="10"/>
  <c r="N127" i="10"/>
  <c r="I128" i="10"/>
  <c r="G128" i="10"/>
  <c r="E128" i="10"/>
  <c r="D129" i="10"/>
  <c r="K82" i="10"/>
  <c r="I82" i="10"/>
  <c r="D83" i="10"/>
  <c r="G82" i="10"/>
  <c r="E82" i="10"/>
  <c r="L82" i="10"/>
  <c r="AF81" i="29" l="1"/>
  <c r="O128" i="29"/>
  <c r="AL80" i="29"/>
  <c r="AG80" i="29"/>
  <c r="AH79" i="29" s="1"/>
  <c r="O92" i="29"/>
  <c r="AE91" i="29"/>
  <c r="AK91" i="29" s="1"/>
  <c r="O118" i="10"/>
  <c r="AF71" i="10"/>
  <c r="AL70" i="10"/>
  <c r="AG70" i="10"/>
  <c r="AH69" i="10" s="1"/>
  <c r="O72" i="10"/>
  <c r="AE71" i="10"/>
  <c r="AK71" i="10" s="1"/>
  <c r="M128" i="10"/>
  <c r="H156" i="29"/>
  <c r="M156" i="29" s="1"/>
  <c r="AP109" i="29"/>
  <c r="N155" i="29"/>
  <c r="H109" i="29"/>
  <c r="M109" i="29" s="1"/>
  <c r="N108" i="29"/>
  <c r="AO108" i="29"/>
  <c r="AQ108" i="29" s="1"/>
  <c r="H79" i="10"/>
  <c r="M78" i="10"/>
  <c r="AO78" i="10"/>
  <c r="AQ78" i="10" s="1"/>
  <c r="N78" i="10"/>
  <c r="X87" i="10"/>
  <c r="X88" i="10"/>
  <c r="X85" i="10"/>
  <c r="X86" i="10"/>
  <c r="X83" i="10"/>
  <c r="X84" i="10"/>
  <c r="X90" i="10"/>
  <c r="X82" i="10"/>
  <c r="J129" i="10"/>
  <c r="R129" i="10"/>
  <c r="X92" i="10"/>
  <c r="X128" i="10"/>
  <c r="X129" i="10"/>
  <c r="X130" i="10"/>
  <c r="X132" i="10"/>
  <c r="X131" i="10"/>
  <c r="X133" i="10"/>
  <c r="X134" i="10"/>
  <c r="X135" i="10"/>
  <c r="X136" i="10"/>
  <c r="X137" i="10"/>
  <c r="X138" i="10"/>
  <c r="X91" i="10"/>
  <c r="T129" i="10"/>
  <c r="T128" i="10"/>
  <c r="T130" i="10"/>
  <c r="T131" i="10"/>
  <c r="T132" i="10"/>
  <c r="T133" i="10"/>
  <c r="T134" i="10"/>
  <c r="T135" i="10"/>
  <c r="T136" i="10"/>
  <c r="T137" i="10"/>
  <c r="T138" i="10"/>
  <c r="T82" i="10"/>
  <c r="T83" i="10"/>
  <c r="T84" i="10"/>
  <c r="T85" i="10"/>
  <c r="T86" i="10"/>
  <c r="T87" i="10"/>
  <c r="T88" i="10"/>
  <c r="T89" i="10"/>
  <c r="T90" i="10"/>
  <c r="T91" i="10"/>
  <c r="T92" i="10"/>
  <c r="J83" i="10"/>
  <c r="R83" i="10"/>
  <c r="N128" i="10"/>
  <c r="D130" i="10"/>
  <c r="L129" i="10"/>
  <c r="G129" i="10"/>
  <c r="I129" i="10"/>
  <c r="E129" i="10"/>
  <c r="L83" i="10"/>
  <c r="E83" i="10"/>
  <c r="D84" i="10"/>
  <c r="K83" i="10"/>
  <c r="G83" i="10"/>
  <c r="I83" i="10"/>
  <c r="AF82" i="29" l="1"/>
  <c r="O129" i="29"/>
  <c r="AL81" i="29"/>
  <c r="AG81" i="29"/>
  <c r="AH80" i="29" s="1"/>
  <c r="AE92" i="29"/>
  <c r="AK92" i="29" s="1"/>
  <c r="O93" i="29"/>
  <c r="O73" i="10"/>
  <c r="AE72" i="10"/>
  <c r="AK72" i="10" s="1"/>
  <c r="AL71" i="10"/>
  <c r="AG71" i="10"/>
  <c r="AH70" i="10" s="1"/>
  <c r="O119" i="10"/>
  <c r="AF72" i="10"/>
  <c r="M129" i="10"/>
  <c r="H80" i="10"/>
  <c r="M79" i="10"/>
  <c r="AO79" i="10"/>
  <c r="AQ79" i="10" s="1"/>
  <c r="N79" i="10"/>
  <c r="H110" i="29"/>
  <c r="N109" i="29"/>
  <c r="AO109" i="29"/>
  <c r="AQ109" i="29" s="1"/>
  <c r="AP110" i="29"/>
  <c r="N156" i="29"/>
  <c r="N157" i="29" s="1"/>
  <c r="M157" i="29"/>
  <c r="Y82" i="10"/>
  <c r="F82" i="10" s="1"/>
  <c r="Y128" i="10"/>
  <c r="F128" i="10" s="1"/>
  <c r="AP82" i="10" s="1"/>
  <c r="Y83" i="10"/>
  <c r="F83" i="10" s="1"/>
  <c r="Y129" i="10"/>
  <c r="F129" i="10" s="1"/>
  <c r="J130" i="10"/>
  <c r="R130" i="10"/>
  <c r="Y130" i="10" s="1"/>
  <c r="F130" i="10" s="1"/>
  <c r="J84" i="10"/>
  <c r="R84" i="10"/>
  <c r="Y84" i="10" s="1"/>
  <c r="F84" i="10" s="1"/>
  <c r="N129" i="10"/>
  <c r="L130" i="10"/>
  <c r="E130" i="10"/>
  <c r="G130" i="10"/>
  <c r="D131" i="10"/>
  <c r="I130" i="10"/>
  <c r="L84" i="10"/>
  <c r="G84" i="10"/>
  <c r="D85" i="10"/>
  <c r="E84" i="10"/>
  <c r="I84" i="10"/>
  <c r="K84" i="10"/>
  <c r="AF83" i="29" l="1"/>
  <c r="O130" i="29"/>
  <c r="AL82" i="29"/>
  <c r="AG82" i="29"/>
  <c r="AH81" i="29" s="1"/>
  <c r="O94" i="29"/>
  <c r="AE93" i="29"/>
  <c r="AK93" i="29" s="1"/>
  <c r="AL72" i="10"/>
  <c r="AG72" i="10"/>
  <c r="AH71" i="10" s="1"/>
  <c r="AF73" i="10"/>
  <c r="O120" i="10"/>
  <c r="M130" i="10"/>
  <c r="O74" i="10"/>
  <c r="AE73" i="10"/>
  <c r="AK73" i="10" s="1"/>
  <c r="AO110" i="29"/>
  <c r="AQ110" i="29" s="1"/>
  <c r="H81" i="10"/>
  <c r="AO80" i="10"/>
  <c r="AQ80" i="10" s="1"/>
  <c r="M80" i="10"/>
  <c r="N80" i="10"/>
  <c r="AP84" i="10"/>
  <c r="AP83" i="10"/>
  <c r="J131" i="10"/>
  <c r="R131" i="10"/>
  <c r="Y131" i="10" s="1"/>
  <c r="F131" i="10" s="1"/>
  <c r="J85" i="10"/>
  <c r="R85" i="10"/>
  <c r="Y85" i="10" s="1"/>
  <c r="F85" i="10" s="1"/>
  <c r="N130" i="10"/>
  <c r="G131" i="10"/>
  <c r="D132" i="10"/>
  <c r="I131" i="10"/>
  <c r="E131" i="10"/>
  <c r="L131" i="10"/>
  <c r="L85" i="10"/>
  <c r="G85" i="10"/>
  <c r="I85" i="10"/>
  <c r="D86" i="10"/>
  <c r="E85" i="10"/>
  <c r="K85" i="10"/>
  <c r="M131" i="10" l="1"/>
  <c r="AF84" i="29"/>
  <c r="O131" i="29"/>
  <c r="AL83" i="29"/>
  <c r="AG83" i="29"/>
  <c r="AH82" i="29" s="1"/>
  <c r="AE94" i="29"/>
  <c r="AK94" i="29" s="1"/>
  <c r="O95" i="29"/>
  <c r="AE74" i="10"/>
  <c r="AK74" i="10" s="1"/>
  <c r="O75" i="10"/>
  <c r="AF74" i="10"/>
  <c r="O121" i="10"/>
  <c r="AG73" i="10"/>
  <c r="AH72" i="10" s="1"/>
  <c r="AL73" i="10"/>
  <c r="H82" i="10"/>
  <c r="M81" i="10"/>
  <c r="AO81" i="10"/>
  <c r="AQ81" i="10" s="1"/>
  <c r="N81" i="10"/>
  <c r="AP85" i="10"/>
  <c r="J132" i="10"/>
  <c r="R132" i="10"/>
  <c r="Y132" i="10" s="1"/>
  <c r="F132" i="10" s="1"/>
  <c r="J86" i="10"/>
  <c r="R86" i="10"/>
  <c r="Y86" i="10" s="1"/>
  <c r="F86" i="10" s="1"/>
  <c r="N131" i="10"/>
  <c r="G132" i="10"/>
  <c r="E132" i="10"/>
  <c r="L132" i="10"/>
  <c r="I132" i="10"/>
  <c r="D133" i="10"/>
  <c r="L86" i="10"/>
  <c r="I86" i="10"/>
  <c r="D87" i="10"/>
  <c r="E86" i="10"/>
  <c r="G86" i="10"/>
  <c r="K86" i="10"/>
  <c r="AF85" i="29" l="1"/>
  <c r="O132" i="29"/>
  <c r="AL84" i="29"/>
  <c r="AG84" i="29"/>
  <c r="AH83" i="29" s="1"/>
  <c r="AE95" i="29"/>
  <c r="AK95" i="29" s="1"/>
  <c r="O96" i="29"/>
  <c r="AE75" i="10"/>
  <c r="AK75" i="10" s="1"/>
  <c r="O76" i="10"/>
  <c r="AF75" i="10"/>
  <c r="O122" i="10"/>
  <c r="AG74" i="10"/>
  <c r="AH73" i="10" s="1"/>
  <c r="AL74" i="10"/>
  <c r="M132" i="10"/>
  <c r="H83" i="10"/>
  <c r="N82" i="10"/>
  <c r="M82" i="10"/>
  <c r="AO82" i="10"/>
  <c r="AQ82" i="10" s="1"/>
  <c r="AP86" i="10"/>
  <c r="J133" i="10"/>
  <c r="R133" i="10"/>
  <c r="Y133" i="10" s="1"/>
  <c r="F133" i="10" s="1"/>
  <c r="J87" i="10"/>
  <c r="R87" i="10"/>
  <c r="Y87" i="10" s="1"/>
  <c r="F87" i="10" s="1"/>
  <c r="N132" i="10"/>
  <c r="D134" i="10"/>
  <c r="L133" i="10"/>
  <c r="G133" i="10"/>
  <c r="I133" i="10"/>
  <c r="E133" i="10"/>
  <c r="L87" i="10"/>
  <c r="G87" i="10"/>
  <c r="I87" i="10"/>
  <c r="E87" i="10"/>
  <c r="K87" i="10"/>
  <c r="D88" i="10"/>
  <c r="O133" i="29" l="1"/>
  <c r="AF86" i="29"/>
  <c r="AL85" i="29"/>
  <c r="AG85" i="29"/>
  <c r="AH84" i="29" s="1"/>
  <c r="O97" i="29"/>
  <c r="AE96" i="29"/>
  <c r="AK96" i="29" s="1"/>
  <c r="AF76" i="10"/>
  <c r="O123" i="10"/>
  <c r="AG75" i="10"/>
  <c r="AH74" i="10" s="1"/>
  <c r="AL75" i="10"/>
  <c r="O77" i="10"/>
  <c r="AE76" i="10"/>
  <c r="AK76" i="10" s="1"/>
  <c r="M133" i="10"/>
  <c r="H84" i="10"/>
  <c r="N83" i="10"/>
  <c r="M83" i="10"/>
  <c r="AO83" i="10"/>
  <c r="AQ83" i="10" s="1"/>
  <c r="AP87" i="10"/>
  <c r="J134" i="10"/>
  <c r="R134" i="10"/>
  <c r="Y134" i="10" s="1"/>
  <c r="F134" i="10" s="1"/>
  <c r="J88" i="10"/>
  <c r="R88" i="10"/>
  <c r="Y88" i="10" s="1"/>
  <c r="F88" i="10" s="1"/>
  <c r="N133" i="10"/>
  <c r="I134" i="10"/>
  <c r="E134" i="10"/>
  <c r="D135" i="10"/>
  <c r="G134" i="10"/>
  <c r="L134" i="10"/>
  <c r="L88" i="10"/>
  <c r="G88" i="10"/>
  <c r="E88" i="10"/>
  <c r="I88" i="10"/>
  <c r="K88" i="10"/>
  <c r="D89" i="10"/>
  <c r="AG86" i="29" l="1"/>
  <c r="AL86" i="29"/>
  <c r="O134" i="29"/>
  <c r="AF87" i="29"/>
  <c r="AE97" i="29"/>
  <c r="AK97" i="29" s="1"/>
  <c r="O98" i="29"/>
  <c r="O78" i="10"/>
  <c r="AE77" i="10"/>
  <c r="AK77" i="10" s="1"/>
  <c r="AF77" i="10"/>
  <c r="O124" i="10"/>
  <c r="AG76" i="10"/>
  <c r="AH75" i="10" s="1"/>
  <c r="AL76" i="10"/>
  <c r="M134" i="10"/>
  <c r="H85" i="10"/>
  <c r="M84" i="10"/>
  <c r="N84" i="10"/>
  <c r="AO84" i="10"/>
  <c r="AQ84" i="10" s="1"/>
  <c r="AP88" i="10"/>
  <c r="J135" i="10"/>
  <c r="R135" i="10"/>
  <c r="Y135" i="10" s="1"/>
  <c r="F135" i="10" s="1"/>
  <c r="J89" i="10"/>
  <c r="R89" i="10"/>
  <c r="Y89" i="10" s="1"/>
  <c r="F89" i="10" s="1"/>
  <c r="N134" i="10"/>
  <c r="G135" i="10"/>
  <c r="L135" i="10"/>
  <c r="E135" i="10"/>
  <c r="D136" i="10"/>
  <c r="I135" i="10"/>
  <c r="L89" i="10"/>
  <c r="D90" i="10"/>
  <c r="G89" i="10"/>
  <c r="K89" i="10"/>
  <c r="I89" i="10"/>
  <c r="E89" i="10"/>
  <c r="AL87" i="29" l="1"/>
  <c r="AG87" i="29"/>
  <c r="O135" i="29"/>
  <c r="AF88" i="29"/>
  <c r="AH85" i="29"/>
  <c r="AH86" i="29"/>
  <c r="AE98" i="29"/>
  <c r="AK98" i="29" s="1"/>
  <c r="O99" i="29"/>
  <c r="AF78" i="10"/>
  <c r="O125" i="10"/>
  <c r="AL77" i="10"/>
  <c r="AG77" i="10"/>
  <c r="AH76" i="10" s="1"/>
  <c r="AE78" i="10"/>
  <c r="AK78" i="10" s="1"/>
  <c r="O79" i="10"/>
  <c r="M135" i="10"/>
  <c r="H86" i="10"/>
  <c r="AO85" i="10"/>
  <c r="AQ85" i="10" s="1"/>
  <c r="M85" i="10"/>
  <c r="N85" i="10"/>
  <c r="AP89" i="10"/>
  <c r="J136" i="10"/>
  <c r="R136" i="10"/>
  <c r="Y136" i="10" s="1"/>
  <c r="F136" i="10" s="1"/>
  <c r="J90" i="10"/>
  <c r="R90" i="10"/>
  <c r="Y90" i="10" s="1"/>
  <c r="F90" i="10" s="1"/>
  <c r="N135" i="10"/>
  <c r="E136" i="10"/>
  <c r="D137" i="10"/>
  <c r="G136" i="10"/>
  <c r="I136" i="10"/>
  <c r="L136" i="10"/>
  <c r="L90" i="10"/>
  <c r="D91" i="10"/>
  <c r="E90" i="10"/>
  <c r="K90" i="10"/>
  <c r="G90" i="10"/>
  <c r="I90" i="10"/>
  <c r="AG88" i="29" l="1"/>
  <c r="AL88" i="29"/>
  <c r="AF89" i="29"/>
  <c r="O136" i="29"/>
  <c r="AH87" i="29"/>
  <c r="AE99" i="29"/>
  <c r="AK99" i="29" s="1"/>
  <c r="O100" i="29"/>
  <c r="O80" i="10"/>
  <c r="AE79" i="10"/>
  <c r="AK79" i="10" s="1"/>
  <c r="AF79" i="10"/>
  <c r="O126" i="10"/>
  <c r="AG78" i="10"/>
  <c r="AH77" i="10" s="1"/>
  <c r="AL78" i="10"/>
  <c r="M136" i="10"/>
  <c r="H87" i="10"/>
  <c r="M86" i="10"/>
  <c r="N86" i="10"/>
  <c r="AO86" i="10"/>
  <c r="AQ86" i="10" s="1"/>
  <c r="AP90" i="10"/>
  <c r="J137" i="10"/>
  <c r="R137" i="10"/>
  <c r="Y137" i="10" s="1"/>
  <c r="F137" i="10" s="1"/>
  <c r="J91" i="10"/>
  <c r="R91" i="10"/>
  <c r="Y91" i="10" s="1"/>
  <c r="F91" i="10" s="1"/>
  <c r="N136" i="10"/>
  <c r="E137" i="10"/>
  <c r="G137" i="10"/>
  <c r="L137" i="10"/>
  <c r="D138" i="10"/>
  <c r="R138" i="10" s="1"/>
  <c r="Y138" i="10" s="1"/>
  <c r="F138" i="10" s="1"/>
  <c r="I137" i="10"/>
  <c r="L91" i="10"/>
  <c r="D92" i="10"/>
  <c r="I91" i="10"/>
  <c r="E91" i="10"/>
  <c r="K91" i="10"/>
  <c r="G91" i="10"/>
  <c r="M137" i="10" l="1"/>
  <c r="AF90" i="29"/>
  <c r="O137" i="29"/>
  <c r="AL89" i="29"/>
  <c r="AG89" i="29"/>
  <c r="AH88" i="29" s="1"/>
  <c r="O101" i="29"/>
  <c r="AE100" i="29"/>
  <c r="AK100" i="29" s="1"/>
  <c r="AF80" i="10"/>
  <c r="O127" i="10"/>
  <c r="AL79" i="10"/>
  <c r="AG79" i="10"/>
  <c r="AH78" i="10" s="1"/>
  <c r="AE80" i="10"/>
  <c r="AK80" i="10" s="1"/>
  <c r="O81" i="10"/>
  <c r="H88" i="10"/>
  <c r="M87" i="10"/>
  <c r="AO87" i="10"/>
  <c r="AQ87" i="10" s="1"/>
  <c r="N87" i="10"/>
  <c r="AP91" i="10"/>
  <c r="L92" i="10"/>
  <c r="L93" i="10" s="1"/>
  <c r="R92" i="10"/>
  <c r="Y92" i="10" s="1"/>
  <c r="F92" i="10" s="1"/>
  <c r="J138" i="10"/>
  <c r="L138" i="10"/>
  <c r="N137" i="10"/>
  <c r="E92" i="10"/>
  <c r="E110" i="29" s="1"/>
  <c r="J92" i="10"/>
  <c r="G138" i="10"/>
  <c r="I138" i="10"/>
  <c r="E138" i="10"/>
  <c r="I92" i="10"/>
  <c r="K92" i="10"/>
  <c r="K93" i="10" s="1"/>
  <c r="G92" i="10"/>
  <c r="M110" i="29" l="1"/>
  <c r="M111" i="29" s="1"/>
  <c r="N110" i="29"/>
  <c r="N111" i="29" s="1"/>
  <c r="AF91" i="29"/>
  <c r="O138" i="29"/>
  <c r="AL90" i="29"/>
  <c r="AG90" i="29"/>
  <c r="AE101" i="29"/>
  <c r="AK101" i="29" s="1"/>
  <c r="O102" i="29"/>
  <c r="AE81" i="10"/>
  <c r="AK81" i="10" s="1"/>
  <c r="O82" i="10"/>
  <c r="AF81" i="10"/>
  <c r="O128" i="10"/>
  <c r="AL80" i="10"/>
  <c r="AG80" i="10"/>
  <c r="AH79" i="10" s="1"/>
  <c r="L139" i="10"/>
  <c r="M138" i="10"/>
  <c r="M139" i="10" s="1"/>
  <c r="H89" i="10"/>
  <c r="M88" i="10"/>
  <c r="N88" i="10"/>
  <c r="AO88" i="10"/>
  <c r="AQ88" i="10" s="1"/>
  <c r="AP92" i="10"/>
  <c r="N138" i="10"/>
  <c r="N139" i="10" s="1"/>
  <c r="AF92" i="29" l="1"/>
  <c r="O139" i="29"/>
  <c r="AH89" i="29"/>
  <c r="AL91" i="29"/>
  <c r="AG91" i="29"/>
  <c r="AH90" i="29" s="1"/>
  <c r="AE102" i="29"/>
  <c r="AK102" i="29" s="1"/>
  <c r="O103" i="29"/>
  <c r="O129" i="10"/>
  <c r="AF82" i="10"/>
  <c r="AL81" i="10"/>
  <c r="AG81" i="10"/>
  <c r="AH80" i="10" s="1"/>
  <c r="AE82" i="10"/>
  <c r="AK82" i="10" s="1"/>
  <c r="O83" i="10"/>
  <c r="H90" i="10"/>
  <c r="M89" i="10"/>
  <c r="N89" i="10"/>
  <c r="AO89" i="10"/>
  <c r="AQ89" i="10" s="1"/>
  <c r="AF93" i="29" l="1"/>
  <c r="O140" i="29"/>
  <c r="AG92" i="29"/>
  <c r="AL92" i="29"/>
  <c r="O104" i="29"/>
  <c r="AE103" i="29"/>
  <c r="AK103" i="29" s="1"/>
  <c r="O84" i="10"/>
  <c r="AE83" i="10"/>
  <c r="AK83" i="10" s="1"/>
  <c r="AL82" i="10"/>
  <c r="AG82" i="10"/>
  <c r="AH81" i="10" s="1"/>
  <c r="AF83" i="10"/>
  <c r="O130" i="10"/>
  <c r="H91" i="10"/>
  <c r="AO90" i="10"/>
  <c r="AQ90" i="10" s="1"/>
  <c r="M90" i="10"/>
  <c r="N90" i="10"/>
  <c r="O141" i="29" l="1"/>
  <c r="AF94" i="29"/>
  <c r="AH91" i="29"/>
  <c r="AG93" i="29"/>
  <c r="AH92" i="29" s="1"/>
  <c r="AL93" i="29"/>
  <c r="AE104" i="29"/>
  <c r="AK104" i="29" s="1"/>
  <c r="O105" i="29"/>
  <c r="AF84" i="10"/>
  <c r="O131" i="10"/>
  <c r="AG83" i="10"/>
  <c r="AH82" i="10" s="1"/>
  <c r="AL83" i="10"/>
  <c r="AE84" i="10"/>
  <c r="AK84" i="10" s="1"/>
  <c r="O85" i="10"/>
  <c r="H92" i="10"/>
  <c r="M91" i="10"/>
  <c r="N91" i="10"/>
  <c r="AO91" i="10"/>
  <c r="AQ91" i="10" s="1"/>
  <c r="AG94" i="29" l="1"/>
  <c r="AL94" i="29"/>
  <c r="AF95" i="29"/>
  <c r="O142" i="29"/>
  <c r="O106" i="29"/>
  <c r="AE105" i="29"/>
  <c r="AK105" i="29" s="1"/>
  <c r="O86" i="10"/>
  <c r="AE85" i="10"/>
  <c r="AK85" i="10" s="1"/>
  <c r="AF85" i="10"/>
  <c r="O132" i="10"/>
  <c r="AG84" i="10"/>
  <c r="AH83" i="10" s="1"/>
  <c r="AL84" i="10"/>
  <c r="N92" i="10"/>
  <c r="N93" i="10" s="1"/>
  <c r="M92" i="10"/>
  <c r="AO92" i="10"/>
  <c r="AQ92" i="10" s="1"/>
  <c r="AG95" i="29" l="1"/>
  <c r="AH94" i="29" s="1"/>
  <c r="AL95" i="29"/>
  <c r="O143" i="29"/>
  <c r="AF96" i="29"/>
  <c r="AH93" i="29"/>
  <c r="O107" i="29"/>
  <c r="AE106" i="29"/>
  <c r="AK106" i="29" s="1"/>
  <c r="O133" i="10"/>
  <c r="AF86" i="10"/>
  <c r="AG85" i="10"/>
  <c r="AH84" i="10" s="1"/>
  <c r="AL85" i="10"/>
  <c r="AE86" i="10"/>
  <c r="AK86" i="10" s="1"/>
  <c r="O87" i="10"/>
  <c r="AL96" i="29" l="1"/>
  <c r="AG96" i="29"/>
  <c r="AF97" i="29"/>
  <c r="O144" i="29"/>
  <c r="O108" i="29"/>
  <c r="AE107" i="29"/>
  <c r="AK107" i="29" s="1"/>
  <c r="AE87" i="10"/>
  <c r="AK87" i="10" s="1"/>
  <c r="O88" i="10"/>
  <c r="AL86" i="10"/>
  <c r="AG86" i="10"/>
  <c r="AH85" i="10" s="1"/>
  <c r="O134" i="10"/>
  <c r="AF87" i="10"/>
  <c r="AF98" i="29" l="1"/>
  <c r="O145" i="29"/>
  <c r="AH95" i="29"/>
  <c r="AL97" i="29"/>
  <c r="AG97" i="29"/>
  <c r="AH96" i="29" s="1"/>
  <c r="O109" i="29"/>
  <c r="AE108" i="29"/>
  <c r="AK108" i="29" s="1"/>
  <c r="AG87" i="10"/>
  <c r="AH86" i="10" s="1"/>
  <c r="AL87" i="10"/>
  <c r="AF88" i="10"/>
  <c r="O135" i="10"/>
  <c r="O89" i="10"/>
  <c r="AE88" i="10"/>
  <c r="AK88" i="10" s="1"/>
  <c r="AF99" i="29" l="1"/>
  <c r="O146" i="29"/>
  <c r="AL98" i="29"/>
  <c r="AG98" i="29"/>
  <c r="AE109" i="29"/>
  <c r="AK109" i="29" s="1"/>
  <c r="O110" i="29"/>
  <c r="AE110" i="29" s="1"/>
  <c r="AK110" i="29" s="1"/>
  <c r="O90" i="10"/>
  <c r="AE89" i="10"/>
  <c r="AK89" i="10" s="1"/>
  <c r="AF89" i="10"/>
  <c r="O136" i="10"/>
  <c r="AG88" i="10"/>
  <c r="AH87" i="10" s="1"/>
  <c r="AL88" i="10"/>
  <c r="O111" i="29" l="1"/>
  <c r="AF100" i="29"/>
  <c r="O147" i="29"/>
  <c r="AH97" i="29"/>
  <c r="AG99" i="29"/>
  <c r="AL99" i="29"/>
  <c r="O137" i="10"/>
  <c r="AF90" i="10"/>
  <c r="AG89" i="10"/>
  <c r="AH88" i="10" s="1"/>
  <c r="AL89" i="10"/>
  <c r="AE90" i="10"/>
  <c r="AK90" i="10" s="1"/>
  <c r="O91" i="10"/>
  <c r="M93" i="10"/>
  <c r="AG100" i="29" l="1"/>
  <c r="AL100" i="29"/>
  <c r="AF101" i="29"/>
  <c r="O148" i="29"/>
  <c r="AH98" i="29"/>
  <c r="O92" i="10"/>
  <c r="AE92" i="10" s="1"/>
  <c r="AK92" i="10" s="1"/>
  <c r="AE91" i="10"/>
  <c r="AK91" i="10" s="1"/>
  <c r="AG90" i="10"/>
  <c r="AH89" i="10" s="1"/>
  <c r="AL90" i="10"/>
  <c r="O138" i="10"/>
  <c r="AF91" i="10"/>
  <c r="AF102" i="29" l="1"/>
  <c r="O149" i="29"/>
  <c r="AG101" i="29"/>
  <c r="AH100" i="29" s="1"/>
  <c r="AL101" i="29"/>
  <c r="AH99" i="29"/>
  <c r="AG91" i="10"/>
  <c r="AL91" i="10"/>
  <c r="AF92" i="10"/>
  <c r="O139" i="10"/>
  <c r="O93" i="10"/>
  <c r="AL102" i="29" l="1"/>
  <c r="AG102" i="29"/>
  <c r="AF103" i="29"/>
  <c r="O150" i="29"/>
  <c r="AG92" i="10"/>
  <c r="AH92" i="10" s="1"/>
  <c r="AL92" i="10"/>
  <c r="AH90" i="10"/>
  <c r="AH101" i="29" l="1"/>
  <c r="O151" i="29"/>
  <c r="AF104" i="29"/>
  <c r="AL103" i="29"/>
  <c r="AG103" i="29"/>
  <c r="AH102" i="29" s="1"/>
  <c r="AH91" i="10"/>
  <c r="G6" i="10" s="1"/>
  <c r="AL104" i="29" l="1"/>
  <c r="AG104" i="29"/>
  <c r="O152" i="29"/>
  <c r="AF105" i="29"/>
  <c r="AG105" i="29" l="1"/>
  <c r="AH104" i="29" s="1"/>
  <c r="AL105" i="29"/>
  <c r="AH103" i="29"/>
  <c r="AF106" i="29"/>
  <c r="O153" i="29"/>
  <c r="AG106" i="29" l="1"/>
  <c r="AH105" i="29" s="1"/>
  <c r="AL106" i="29"/>
  <c r="AF107" i="29"/>
  <c r="O154" i="29"/>
  <c r="AF108" i="29" l="1"/>
  <c r="O155" i="29"/>
  <c r="AL107" i="29"/>
  <c r="AG107" i="29"/>
  <c r="AH106" i="29" l="1"/>
  <c r="AF109" i="29"/>
  <c r="O156" i="29"/>
  <c r="AF110" i="29" s="1"/>
  <c r="AG108" i="29"/>
  <c r="AH107" i="29" s="1"/>
  <c r="AL108" i="29"/>
  <c r="O157" i="29" l="1"/>
  <c r="AG110" i="29"/>
  <c r="AH110" i="29" s="1"/>
  <c r="AL110" i="29"/>
  <c r="AL109" i="29"/>
  <c r="AG109" i="29"/>
  <c r="AH108" i="29" l="1"/>
  <c r="AH109" i="29"/>
  <c r="G20" i="29" s="1"/>
</calcChain>
</file>

<file path=xl/sharedStrings.xml><?xml version="1.0" encoding="utf-8"?>
<sst xmlns="http://schemas.openxmlformats.org/spreadsheetml/2006/main" count="439" uniqueCount="234">
  <si>
    <t>Datum</t>
  </si>
  <si>
    <t>Kasstroom</t>
  </si>
  <si>
    <t>Jaar</t>
  </si>
  <si>
    <t>Jaren</t>
  </si>
  <si>
    <t>Investerigs-kosten</t>
  </si>
  <si>
    <t>Onderhouds-kosten</t>
  </si>
  <si>
    <t>Schoonmaak-kosten</t>
  </si>
  <si>
    <t>Kosten</t>
  </si>
  <si>
    <t>Constructieve onderbouw</t>
  </si>
  <si>
    <t>Constructieve bovenbouw</t>
  </si>
  <si>
    <t>Afbouw gevel</t>
  </si>
  <si>
    <t>Afbouw daken en plafonds</t>
  </si>
  <si>
    <t>Inbouw (excl. gebruiker)</t>
  </si>
  <si>
    <t>Afwerkingen</t>
  </si>
  <si>
    <t>Overige bouwk. voorz.</t>
  </si>
  <si>
    <t>W-installaties</t>
  </si>
  <si>
    <t>Klimaatinstallaties</t>
  </si>
  <si>
    <t>E-installaties</t>
  </si>
  <si>
    <t>Transportinstallaties</t>
  </si>
  <si>
    <t>Vaste inrichting</t>
  </si>
  <si>
    <r>
      <t>m</t>
    </r>
    <r>
      <rPr>
        <vertAlign val="superscript"/>
        <sz val="8"/>
        <color theme="1"/>
        <rFont val="Arial"/>
        <family val="2"/>
      </rPr>
      <t>2</t>
    </r>
  </si>
  <si>
    <t>Kantoorblok (max 6 lagen)</t>
  </si>
  <si>
    <t>Gebruikte kosten</t>
  </si>
  <si>
    <t>Kantoorblok (tot 12 lagen)</t>
  </si>
  <si>
    <t>Type:</t>
  </si>
  <si>
    <r>
      <t>m</t>
    </r>
    <r>
      <rPr>
        <b/>
        <vertAlign val="superscript"/>
        <sz val="8"/>
        <rFont val="Arial"/>
        <family val="2"/>
      </rPr>
      <t>2</t>
    </r>
  </si>
  <si>
    <t>kWh</t>
  </si>
  <si>
    <r>
      <t>m</t>
    </r>
    <r>
      <rPr>
        <vertAlign val="superscript"/>
        <sz val="8"/>
        <rFont val="Arial"/>
        <family val="2"/>
      </rPr>
      <t>3</t>
    </r>
  </si>
  <si>
    <t>Productiviteit-opbrengst</t>
  </si>
  <si>
    <t xml:space="preserve">Restwaarde </t>
  </si>
  <si>
    <t>https://www.arcadis.com/media/6/B/C/%7B6BCE6385-98BA-4DC0-A023-C2A305C4D720%7DBrochure%20Vormfactoren%20en%20Kostenkengetallen%20Assets%202017.pdf</t>
  </si>
  <si>
    <t>Restwaarde bedrag</t>
  </si>
  <si>
    <t>Voor referentiegebouw</t>
  </si>
  <si>
    <t>Voor duurzaam gebouw</t>
  </si>
  <si>
    <t>kantoor 6 lagen</t>
  </si>
  <si>
    <t>kantoor 12 lagen</t>
  </si>
  <si>
    <t>Onderstaande bedragen bepalen de terugverdientijd</t>
  </si>
  <si>
    <t>Cum NCW Duurzaam</t>
  </si>
  <si>
    <t>TVT</t>
  </si>
  <si>
    <t>Onderstaande bedragen bepalen wanneer positief is</t>
  </si>
  <si>
    <t>Subsidie</t>
  </si>
  <si>
    <t>Rente &amp; aflossing totaal lening</t>
  </si>
  <si>
    <t>Rente &amp; aflossing (totaal anuitair)</t>
  </si>
  <si>
    <t>Rente &amp; aflossing (lineair)</t>
  </si>
  <si>
    <t>Investering 40 jarige elementen</t>
  </si>
  <si>
    <t>Investering 30 jarige elementen</t>
  </si>
  <si>
    <t>Investering 20 jarige elementen</t>
  </si>
  <si>
    <t>Investering 10 jarige elementen</t>
  </si>
  <si>
    <t>Rente &amp; aflossing lening (40 jaar)</t>
  </si>
  <si>
    <t>Rente &amp; aflossing lening (30 jaar)</t>
  </si>
  <si>
    <t>Rente &amp; aflossing lening (20 jaar)</t>
  </si>
  <si>
    <t>Rente &amp; aflossing lening (10 jaar)</t>
  </si>
  <si>
    <t>1.0</t>
  </si>
  <si>
    <t>Full-air = +€79 per BVO</t>
  </si>
  <si>
    <t>Projektname</t>
  </si>
  <si>
    <t>Forschung Interreg VA-Projekt Heatlhy Building Network</t>
  </si>
  <si>
    <t>Preisniveau</t>
  </si>
  <si>
    <t>1. Januar 2019</t>
  </si>
  <si>
    <t>Projektnummer</t>
  </si>
  <si>
    <t>Version</t>
  </si>
  <si>
    <t>Teilprojekt</t>
  </si>
  <si>
    <t>Vergleich zwischen einem Referenzgebäude (1) und einem nachhaltigen Gebäude (2)</t>
  </si>
  <si>
    <t>Hinweis</t>
  </si>
  <si>
    <t xml:space="preserve">Der Business Case ermöglicht es die Vorteile von nachhaltigen Gebäuden gegenüber eines Referenzgebäudes deutlich zu machen. Grün und blau markierte Felder müssen durch den Nutzer ausgefüllt werden. </t>
  </si>
  <si>
    <t xml:space="preserve">Im Arbeitsblatt 'Ergebnis' finden Sie eine Cashflow-Übersicht inklusive Amortisationsperiode und Amortisationszeitpunkt basierend auf der Barwertmethode. </t>
  </si>
  <si>
    <t xml:space="preserve">Die Funktionsweise des Business Cases ist in dem Dokument "Der Business Case für zirkuläre, gesunde und produktive Bürogebäude sowie nachhaltige Anwendungen" mit der Referenznummer 1643801-0093 zu finden. </t>
  </si>
  <si>
    <t>Abbildung: Verschiedene Faktoren beeinflussen die Produktivität des arbeitenden Menschen</t>
  </si>
  <si>
    <t>Bemerkung</t>
  </si>
  <si>
    <t>Anzahl VZÄ (Vollzeitäquivalent) ist der Ausgangspunkt, Anzahl Arbeitsplätze wird errechnet</t>
  </si>
  <si>
    <t>Nicht-kommerzielle Organisationen können einen fiktiven Prozentsatz annehmen (z.B. 3 - 5% des Gehaltes).</t>
  </si>
  <si>
    <t>Abhängig von der Organisation</t>
  </si>
  <si>
    <t>Bandbreite: minimal 10%</t>
  </si>
  <si>
    <t>Ausgangspunkt: Erstinvestitionskosten zum Zeitpunt der Inbetriebnahme des Gebäudes (Preisniveau)  (also inkl. Indexierung während der Entwurfs- und Bauphase)</t>
  </si>
  <si>
    <t>Bandbreite: €20 - €30, Quelle: Arcadis Vormfactoren en kostenkengetallen Assets 2017</t>
  </si>
  <si>
    <t>Bandbreite: €400 - €500, Quelle: Arcadis Vormfactoren en kostenkengetallen Assets 2017</t>
  </si>
  <si>
    <t>Bandbreite: €20 - €30, FM-kostenkengetallen, 2019 von Cobouw Bouwkosten</t>
  </si>
  <si>
    <t xml:space="preserve">Quelle: FM-kostenkengetallen, 2019 von Cobouw Bouwkosten. </t>
  </si>
  <si>
    <t>Quelle: FM-kostenkengetallen, 2019 von Cobouw Bouwkosten</t>
  </si>
  <si>
    <t xml:space="preserve">Bei einem nachhaltigen Gebäude sind beinahe immer mehr Installationen vorhanden, wodurch die jährlichen Wartungskosten höher ausfallen als bei einem Referenzgebäude. </t>
  </si>
  <si>
    <t>Häufig entsteht eine Verschiebung der Kosten von Heizkosten nach Elektrizitätskosten.</t>
  </si>
  <si>
    <t>Organisatorischer Gewinn</t>
  </si>
  <si>
    <t>- Anzahl VZÄ</t>
  </si>
  <si>
    <t>- Jährlicher Gewinn (EBIT) oder prozentualer Anteil der jährlichen Kosten für Gehälter</t>
  </si>
  <si>
    <t>- Erwarteter Produktivitätsanstieg (EBIT)</t>
  </si>
  <si>
    <t>Finanzielle Komponenten</t>
  </si>
  <si>
    <t>- Laufzeit des Cashflowschemas und des Darlehens</t>
  </si>
  <si>
    <t>- Diskontierungszinssatz</t>
  </si>
  <si>
    <t>- Zinssatz des Darlehens</t>
  </si>
  <si>
    <t>- Art des Darlehens für die Investition wird als linear angenommen.</t>
  </si>
  <si>
    <t>Referenzgebäude (1)</t>
  </si>
  <si>
    <t>Übersicht Räume</t>
  </si>
  <si>
    <t>- Flexibilitätsfaktor Mitarbeiter / Arbeitsplatz</t>
  </si>
  <si>
    <t>- Anzahl  Arbeitsplätze</t>
  </si>
  <si>
    <t>- Anzahl  m2 pro Arbeitsplatz</t>
  </si>
  <si>
    <t>- Anzahl  m2 (keine Bürofunktion)</t>
  </si>
  <si>
    <t>- Totalfläche m2 BGF im Gebäude</t>
  </si>
  <si>
    <t>Investitionskosten</t>
  </si>
  <si>
    <t>- Erstinvestitionskosten</t>
  </si>
  <si>
    <t>- Wiederanschaffungskosten im Jahr</t>
  </si>
  <si>
    <t>- Abbruchkosten im Jahr</t>
  </si>
  <si>
    <t>Betriebskosten</t>
  </si>
  <si>
    <t>- Jährliche Wartungskosten</t>
  </si>
  <si>
    <t>- Kosten für große Wartungsarbeiten / Renovierungen im Jahr:</t>
  </si>
  <si>
    <t>- Reinigungskosten</t>
  </si>
  <si>
    <t>- Kosten für Heizung</t>
  </si>
  <si>
    <t>- Kosten für Wasser</t>
  </si>
  <si>
    <t>- Kosten für Elektrizität</t>
  </si>
  <si>
    <t>Einkommen aus Subventionen</t>
  </si>
  <si>
    <t>- Einmalige Subventionen</t>
  </si>
  <si>
    <t>- Jährliche Subventionen</t>
  </si>
  <si>
    <t>Nachhaltiges Gebäude (2)</t>
  </si>
  <si>
    <t>- Zusätzliche Anschaffungskosten im Jahr</t>
  </si>
  <si>
    <t>- Reduzierte Abbruchkosten im Jahr</t>
  </si>
  <si>
    <t>- Gasverbrauch pro Jahr (für Heizung)</t>
  </si>
  <si>
    <t>- Wasserverbrauch pro Jahr</t>
  </si>
  <si>
    <t>- Elektrizitätsverbrauch pro Jahr</t>
  </si>
  <si>
    <t>Zwischen 0 und 1 (wobei 0,6 ein sehr flexibles Arbeitsplatzkonzept beschreibt und 1 ein sehr traditionelles Konzept mit festem Arbeitsplatz pro Mitarbeiter)</t>
  </si>
  <si>
    <r>
      <t>Büro m</t>
    </r>
    <r>
      <rPr>
        <vertAlign val="superscript"/>
        <sz val="8"/>
        <rFont val="Arial"/>
        <family val="2"/>
      </rPr>
      <t>2</t>
    </r>
    <r>
      <rPr>
        <sz val="8"/>
        <rFont val="Arial"/>
        <family val="2"/>
      </rPr>
      <t>:</t>
    </r>
  </si>
  <si>
    <t>Z.B. Toiletten, (Spül-)Küchen, Gänge, Kantine</t>
  </si>
  <si>
    <t>(Dies wird in 'Eingabeblatt 2' weiter ausgearbeitet)</t>
  </si>
  <si>
    <t>Indexierungsprozentsatz</t>
  </si>
  <si>
    <t>gegenüber Referenzgebäude</t>
  </si>
  <si>
    <t>zu</t>
  </si>
  <si>
    <t>im ersten Jahr</t>
  </si>
  <si>
    <t>pro Jahr</t>
  </si>
  <si>
    <t>Gesamtkosten</t>
  </si>
  <si>
    <t>pro m2</t>
  </si>
  <si>
    <r>
      <t>pro m</t>
    </r>
    <r>
      <rPr>
        <vertAlign val="superscript"/>
        <sz val="8"/>
        <color theme="1"/>
        <rFont val="Arial"/>
        <family val="2"/>
      </rPr>
      <t>2</t>
    </r>
  </si>
  <si>
    <t>ohne MwSt</t>
  </si>
  <si>
    <t>Verbrauch pro m² BGF</t>
  </si>
  <si>
    <t>Einheitskosten</t>
  </si>
  <si>
    <t>Z.B. Toiletten, (Spühl-)Küchen, Gänge, Kantine</t>
  </si>
  <si>
    <t xml:space="preserve">Gewinn vor Zinsen und Steuern oder Gehaltskosten pro VZÄ </t>
  </si>
  <si>
    <t>Der Zinssatz, mit dem die Zahlung abgezinst wird und der Barwert im Jahr 1 ermittelt werden kann.</t>
  </si>
  <si>
    <t>Lebensdauer</t>
  </si>
  <si>
    <t>Ersatzrate</t>
  </si>
  <si>
    <t>Einheitspreis</t>
  </si>
  <si>
    <t>Erwarteter Restwert</t>
  </si>
  <si>
    <t>Mehrpreis Nachhaltig-keit</t>
  </si>
  <si>
    <t>Kostenposten</t>
  </si>
  <si>
    <t>Gesamt-BGF Referenzgebäude</t>
  </si>
  <si>
    <t>Niveau:</t>
  </si>
  <si>
    <t>Gesamt-BGF nachhaltiges Gebäude</t>
  </si>
  <si>
    <t>pro BGF</t>
  </si>
  <si>
    <t>Abbruchkosten</t>
  </si>
  <si>
    <t>Gesamte Abbruchkosten / Restwert</t>
  </si>
  <si>
    <t>Zusätzliche Kosten</t>
  </si>
  <si>
    <t>Zusätzliche Kosten und Löhne</t>
  </si>
  <si>
    <t>der Gesamtbaukosten</t>
  </si>
  <si>
    <t>Indirekte Gesamtbaukosten</t>
  </si>
  <si>
    <t>Gesamtbaukosten (exkl. MwSt.)</t>
  </si>
  <si>
    <t>Lose Einrichtung</t>
  </si>
  <si>
    <t>Gesamte lose Einrihtung</t>
  </si>
  <si>
    <t>Feste Einrichtung</t>
  </si>
  <si>
    <t>Klimaanlagen</t>
  </si>
  <si>
    <t>Transportinstallationen</t>
  </si>
  <si>
    <t>Wartungsinstallationen</t>
  </si>
  <si>
    <t>Gesamtinstallationen</t>
  </si>
  <si>
    <t>Amortisationszeit Nachhaltigkeitsmaßnahme 1:</t>
  </si>
  <si>
    <t>Basiert auf der Barwertmethode</t>
  </si>
  <si>
    <t>Jahr</t>
  </si>
  <si>
    <t>Jahre</t>
  </si>
  <si>
    <t>Investitions-kosten</t>
  </si>
  <si>
    <t>Zinsen &amp; Rückzahlung (linear)</t>
  </si>
  <si>
    <t>Wartungs-kosten</t>
  </si>
  <si>
    <t>Reinigings-kosten</t>
  </si>
  <si>
    <t>Subven-tionen</t>
  </si>
  <si>
    <t>Produktivitäts-ertrag</t>
  </si>
  <si>
    <t xml:space="preserve">Restwert </t>
  </si>
  <si>
    <t>Zinsen &amp; Rückzahlung  (total annuitär)</t>
  </si>
  <si>
    <t>Rente &amp; aflossing lening (40 Jahr)</t>
  </si>
  <si>
    <t>Rente &amp; aflossing lening (30 Jahr)</t>
  </si>
  <si>
    <t>Rente &amp; aflossing lening (20 Jahr)</t>
  </si>
  <si>
    <t>Rente &amp; aflossing lening (10 Jahr)</t>
  </si>
  <si>
    <t>Cum NCW Referenz</t>
  </si>
  <si>
    <t>Unterschied kumulativer Barwert</t>
  </si>
  <si>
    <t>Cashflow duurzaam</t>
  </si>
  <si>
    <t>Cashflow Referenz</t>
  </si>
  <si>
    <t>Unterschied im Cashflow (Nachhaltiges Gebäude gegenüber Referenzgebäude)</t>
  </si>
  <si>
    <t>Zusammenfassung</t>
  </si>
  <si>
    <t xml:space="preserve">- Anzahl VZÄ </t>
  </si>
  <si>
    <t>- Anzahl Arbeitsplätze</t>
  </si>
  <si>
    <t>- Art des Gebäudes</t>
  </si>
  <si>
    <t>- Erstinvestitionskosten pro m² BGF</t>
  </si>
  <si>
    <t>- Kosten für Erdgas (im 1. Jahr)</t>
  </si>
  <si>
    <t>- Kosten für Wasser  (im 1. Jahr)</t>
  </si>
  <si>
    <t>- Kosten für Elektrizität  (im 1. Jahr)</t>
  </si>
  <si>
    <t>Amortisationszeit nachhaltiges Gebäude</t>
  </si>
  <si>
    <t>Referenzgebäude</t>
  </si>
  <si>
    <t>nachhaltiges Gebäude</t>
  </si>
  <si>
    <t>Erläuterung: Der kumulative Barwert ist in der obigen Grafik dargestellt. Je negativer der Betrag, desto höher der Gesamtbetrag. Wenn sich die Linien schneiden, gibt es einen Break-Even-Punkt.</t>
  </si>
  <si>
    <t>Erklärung: Im Cashflowdiagramm ist pro Jahr die Summe de Einkünfte und Ausgaben angegeben.</t>
  </si>
  <si>
    <t>Kosten für G/W/E</t>
  </si>
  <si>
    <t>Barwertmethode</t>
  </si>
  <si>
    <t>Cum Barwertmethode</t>
  </si>
  <si>
    <t>Referenz gebouw (1)</t>
  </si>
  <si>
    <t>Barwert</t>
  </si>
  <si>
    <t>Cum Barwert</t>
  </si>
  <si>
    <t>Bei einem nachhaltigen Gebäude</t>
  </si>
  <si>
    <t>pro m2 pro Jahr</t>
  </si>
  <si>
    <t>Fundament</t>
  </si>
  <si>
    <t>Fassadenverkleidung</t>
  </si>
  <si>
    <t>Ohne Grundstückskosten</t>
  </si>
  <si>
    <t>Bauwerk - Baukonstruktionen</t>
  </si>
  <si>
    <t>Dächer / Dachbedeckung</t>
  </si>
  <si>
    <t>Innenwände</t>
  </si>
  <si>
    <t>Innenausbau (Wände, Böden, Decken)</t>
  </si>
  <si>
    <t>Technische Anlagen (Installationen)</t>
  </si>
  <si>
    <t>Gesamtinvestitionskosten (ex. MwSt.)</t>
  </si>
  <si>
    <t>Sonstige Maßnahmen Baukonstruktionen</t>
  </si>
  <si>
    <t>Mechanische Anlagen</t>
  </si>
  <si>
    <t>Elektrische Installationen</t>
  </si>
  <si>
    <t>Löhne und Preiserhöhungen ab Preisniveau bis Fertigstellung</t>
  </si>
  <si>
    <t>Niedrig</t>
  </si>
  <si>
    <t>Durchschnitt</t>
  </si>
  <si>
    <t>Hoch</t>
  </si>
  <si>
    <r>
      <rPr>
        <b/>
        <sz val="8"/>
        <color theme="1"/>
        <rFont val="Arial"/>
        <family val="2"/>
      </rPr>
      <t>Haftungsausschluss</t>
    </r>
    <r>
      <rPr>
        <sz val="8"/>
        <color theme="1"/>
        <rFont val="Arial"/>
        <family val="2"/>
      </rPr>
      <t>: Dies ist eine indikative Berechnung basierend auf dem niederländischen Preisniveau, daraus können keine Rechte abgeleitet werden. Alle Beträge verstehen sich exklusive Mehrwertsteuer.</t>
    </r>
  </si>
  <si>
    <t>NPW</t>
  </si>
  <si>
    <t>Kum NPW</t>
  </si>
  <si>
    <t>Kosten für Gas/ Wasser/ Elektrizität</t>
  </si>
  <si>
    <t>Kosten für Gas/Wasser/ Elektrizität</t>
  </si>
  <si>
    <t>Ausgangspunkt dieses Business Cases ist, dass nachhaltige Maßnahmen zur Produktivität der Mitarbeiter beitragen und die Arbeitsproduktivität positiv beeinflussen.</t>
  </si>
  <si>
    <r>
      <t>Bandbreite: 8 - 20 m</t>
    </r>
    <r>
      <rPr>
        <vertAlign val="superscript"/>
        <sz val="8"/>
        <rFont val="Arial"/>
        <family val="2"/>
      </rPr>
      <t>2</t>
    </r>
    <r>
      <rPr>
        <sz val="8"/>
        <rFont val="Arial"/>
        <family val="2"/>
      </rPr>
      <t xml:space="preserve"> (nach dem niederländischen Arboportaal) inklusive Besprechungen</t>
    </r>
  </si>
  <si>
    <t>Quelle: Artikel "BBA binnenmilieu" Fachzeitschrift "Verwarming &amp; Ventilatie" Juni 2003. 
und CBRE "Het sneeuwbaleffect van Healthy offices" in Zusammenarbeit mit der Universiteit Twente</t>
  </si>
  <si>
    <r>
      <t>Bandbreite; 8 - 20 m</t>
    </r>
    <r>
      <rPr>
        <vertAlign val="superscript"/>
        <sz val="8"/>
        <rFont val="Arial"/>
        <family val="2"/>
      </rPr>
      <t>2</t>
    </r>
    <r>
      <rPr>
        <sz val="8"/>
        <rFont val="Arial"/>
        <family val="2"/>
      </rPr>
      <t xml:space="preserve"> (nach dem niederländischen Arboportaal) inklusive Besprechungsräume</t>
    </r>
  </si>
  <si>
    <t>Z.B. in den Niederlanden übliche SDE-Subventionen für Photovoltaikanlagen</t>
  </si>
  <si>
    <t>Vertikale und horizontale Baukonstruktionen</t>
  </si>
  <si>
    <t>Gesamt Baukonstruktionen</t>
  </si>
  <si>
    <t>Gesamte feste Einrichtung</t>
  </si>
  <si>
    <t>Risiken u. unvorhergesehene Mehrkosten</t>
  </si>
  <si>
    <t xml:space="preserve">- Gesamtfläche des Gebäudes (m² BGF) </t>
  </si>
  <si>
    <t>Erläuterung: In der obigen Übersicht wurden die kumulierten Nettokonstantenwerte des Referenz-Projekts vom nachhaltigen Szenario abgezogen. Ist der Wert negativ, ist das nachhaltige Gebäude finanziell attraktiver als das Referenzprojekt.</t>
  </si>
  <si>
    <t>Hinweis: In der Übersicht der Cashflowunterschiede werden die Zahlungsströme aus dem Referenzgebäude von den Zahlungsströmen des nachhaltigen Gebäudes abgezogen. Bei positiven Beträgen sind die Investitionen für das nachhaltige Bauen geringer als die für das Referenzprojekt.</t>
  </si>
  <si>
    <t>Cashflow (excl. Zinsen &amp; Rückzahlung)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</si>
</sst>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 #,##0_-;&quot;€&quot;\ #,##0\-"/>
    <numFmt numFmtId="165" formatCode="&quot;€&quot;\ #,##0_-;[Red]&quot;€&quot;\ #,##0\-"/>
    <numFmt numFmtId="166" formatCode="&quot;€&quot;\ #,##0.00_-;[Red]&quot;€&quot;\ #,##0.00\-"/>
    <numFmt numFmtId="167" formatCode="_-&quot;€&quot;\ * #,##0.00_-;_-&quot;€&quot;\ * #,##0.00\-;_-&quot;€&quot;\ * &quot;-&quot;??_-;_-@_-"/>
    <numFmt numFmtId="168" formatCode="[$-413]d/mmm/yy;@"/>
    <numFmt numFmtId="169" formatCode="_ [$€-413]\ * #,##0_ ;_ [$€-413]\ * \-#,##0_ ;_ [$€-413]\ * &quot;-&quot;??_ ;_ @_ "/>
    <numFmt numFmtId="170" formatCode="_ [$€-413]\ * #,##0_ ;_ [$€-413]\ * \-#,##0_ ;_ [$€-413]\ * &quot;-&quot;???_ ;_ @_ "/>
    <numFmt numFmtId="171" formatCode="0.0%"/>
    <numFmt numFmtId="172" formatCode="_-&quot;€&quot;\ * #,##0_-;_-&quot;€&quot;\ * #,##0\-;_-&quot;€&quot;\ * &quot;-&quot;??_-;_-@_-"/>
    <numFmt numFmtId="173" formatCode="0.0"/>
    <numFmt numFmtId="174" formatCode="&quot;€&quot;\ #,##0_-"/>
  </numFmts>
  <fonts count="37" x14ac:knownFonts="1">
    <font>
      <sz val="11"/>
      <color theme="1"/>
      <name val="Calibri"/>
      <family val="2"/>
      <scheme val="minor"/>
    </font>
    <font>
      <sz val="11"/>
      <color theme="1"/>
      <name val="Calibri"/>
      <family val="2"/>
      <scheme val="minor"/>
    </font>
    <font>
      <sz val="10"/>
      <name val="Arial"/>
      <family val="2"/>
    </font>
    <font>
      <sz val="8"/>
      <name val="Arial"/>
      <family val="2"/>
    </font>
    <font>
      <sz val="10"/>
      <name val="Helv"/>
      <family val="2"/>
    </font>
    <font>
      <sz val="10"/>
      <name val="MS Sans Serif"/>
      <family val="2"/>
    </font>
    <font>
      <b/>
      <sz val="10"/>
      <color theme="0"/>
      <name val="Arial"/>
      <family val="2"/>
    </font>
    <font>
      <b/>
      <sz val="8"/>
      <color theme="1"/>
      <name val="Arial"/>
      <family val="2"/>
    </font>
    <font>
      <b/>
      <sz val="8"/>
      <name val="Arial"/>
      <family val="2"/>
    </font>
    <font>
      <sz val="11"/>
      <color theme="1"/>
      <name val="Arial"/>
      <family val="2"/>
    </font>
    <font>
      <sz val="8"/>
      <color theme="1"/>
      <name val="Arial"/>
      <family val="2"/>
    </font>
    <font>
      <b/>
      <u/>
      <sz val="8"/>
      <color theme="1"/>
      <name val="Arial"/>
      <family val="2"/>
    </font>
    <font>
      <b/>
      <sz val="10"/>
      <color theme="1"/>
      <name val="Arial"/>
      <family val="2"/>
    </font>
    <font>
      <sz val="8"/>
      <color theme="9"/>
      <name val="Arial"/>
      <family val="2"/>
    </font>
    <font>
      <sz val="11"/>
      <color theme="9"/>
      <name val="Arial"/>
      <family val="2"/>
    </font>
    <font>
      <b/>
      <sz val="11"/>
      <color theme="1"/>
      <name val="Arial"/>
      <family val="2"/>
    </font>
    <font>
      <sz val="11"/>
      <color rgb="FFFF0000"/>
      <name val="Arial"/>
      <family val="2"/>
    </font>
    <font>
      <vertAlign val="superscript"/>
      <sz val="8"/>
      <name val="Arial"/>
      <family val="2"/>
    </font>
    <font>
      <vertAlign val="superscript"/>
      <sz val="8"/>
      <color theme="1"/>
      <name val="Arial"/>
      <family val="2"/>
    </font>
    <font>
      <b/>
      <u/>
      <sz val="8"/>
      <name val="Arial"/>
      <family val="2"/>
    </font>
    <font>
      <b/>
      <sz val="10"/>
      <name val="Arial"/>
      <family val="2"/>
    </font>
    <font>
      <b/>
      <vertAlign val="superscript"/>
      <sz val="8"/>
      <name val="Arial"/>
      <family val="2"/>
    </font>
    <font>
      <b/>
      <sz val="8"/>
      <color rgb="FFFF0000"/>
      <name val="Arial"/>
      <family val="2"/>
    </font>
    <font>
      <sz val="9"/>
      <color theme="1"/>
      <name val="Arial"/>
      <family val="2"/>
    </font>
    <font>
      <u/>
      <sz val="8"/>
      <color theme="1"/>
      <name val="Arial"/>
      <family val="2"/>
    </font>
    <font>
      <sz val="8"/>
      <color rgb="FFFF0000"/>
      <name val="Arial"/>
      <family val="2"/>
    </font>
    <font>
      <b/>
      <u/>
      <sz val="8"/>
      <color rgb="FFFF0000"/>
      <name val="Arial"/>
      <family val="2"/>
    </font>
    <font>
      <b/>
      <sz val="10"/>
      <color rgb="FFFF0000"/>
      <name val="Arial"/>
      <family val="2"/>
    </font>
    <font>
      <sz val="11"/>
      <name val="Arial"/>
      <family val="2"/>
    </font>
    <font>
      <sz val="11"/>
      <color rgb="FFFF0000"/>
      <name val="Calibri"/>
      <family val="2"/>
      <scheme val="minor"/>
    </font>
    <font>
      <u/>
      <sz val="11"/>
      <color theme="10"/>
      <name val="Calibri"/>
      <family val="2"/>
      <scheme val="minor"/>
    </font>
    <font>
      <sz val="10"/>
      <color theme="0"/>
      <name val="Arial"/>
      <family val="2"/>
    </font>
    <font>
      <sz val="11"/>
      <color theme="0"/>
      <name val="Arial"/>
      <family val="2"/>
    </font>
    <font>
      <sz val="8"/>
      <color theme="0"/>
      <name val="Arial"/>
      <family val="2"/>
    </font>
    <font>
      <b/>
      <sz val="8"/>
      <color theme="0"/>
      <name val="Arial"/>
      <family val="2"/>
    </font>
    <font>
      <sz val="9"/>
      <name val="Arial"/>
      <family val="2"/>
    </font>
    <font>
      <i/>
      <sz val="9.5"/>
      <color theme="1"/>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6" tint="-0.249977111117893"/>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7">
    <xf numFmtId="0" fontId="0" fillId="0" borderId="0"/>
    <xf numFmtId="0" fontId="1" fillId="0" borderId="0" applyFont="0" applyFill="0" applyBorder="0" applyAlignment="0" applyProtection="0"/>
    <xf numFmtId="3" fontId="2" fillId="0" borderId="0"/>
    <xf numFmtId="3" fontId="4" fillId="0" borderId="0"/>
    <xf numFmtId="9" fontId="5" fillId="0" borderId="0" applyFont="0" applyFill="0" applyBorder="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490">
    <xf numFmtId="0" fontId="0" fillId="0" borderId="0" xfId="0"/>
    <xf numFmtId="0" fontId="9" fillId="0" borderId="0" xfId="0" applyFont="1" applyAlignment="1">
      <alignment vertical="center"/>
    </xf>
    <xf numFmtId="4" fontId="2" fillId="0" borderId="0"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3" fontId="3" fillId="0" borderId="0" xfId="2" applyFont="1" applyFill="1" applyBorder="1" applyAlignment="1">
      <alignment vertical="center"/>
    </xf>
    <xf numFmtId="3" fontId="8" fillId="2" borderId="1" xfId="2" applyFont="1" applyFill="1" applyBorder="1" applyAlignment="1" applyProtection="1">
      <alignment vertical="center"/>
    </xf>
    <xf numFmtId="3" fontId="3" fillId="2" borderId="2" xfId="2" applyFont="1" applyFill="1" applyBorder="1" applyAlignment="1">
      <alignment vertical="center"/>
    </xf>
    <xf numFmtId="168" fontId="3" fillId="2" borderId="3" xfId="2" applyNumberFormat="1" applyFont="1" applyFill="1" applyBorder="1" applyAlignment="1">
      <alignment horizontal="left" vertical="center"/>
    </xf>
    <xf numFmtId="3" fontId="8" fillId="2" borderId="4" xfId="2" applyFont="1" applyFill="1" applyBorder="1" applyAlignment="1" applyProtection="1">
      <alignment vertical="center"/>
    </xf>
    <xf numFmtId="3" fontId="3" fillId="2" borderId="0" xfId="2" applyFont="1" applyFill="1" applyBorder="1" applyAlignment="1">
      <alignment vertical="center"/>
    </xf>
    <xf numFmtId="49" fontId="3" fillId="2" borderId="0" xfId="2" applyNumberFormat="1" applyFont="1" applyFill="1" applyBorder="1" applyAlignment="1" applyProtection="1">
      <alignment vertical="center"/>
    </xf>
    <xf numFmtId="1" fontId="3" fillId="2" borderId="5" xfId="2" quotePrefix="1" applyNumberFormat="1" applyFont="1" applyFill="1" applyBorder="1" applyAlignment="1">
      <alignment horizontal="left" vertical="center"/>
    </xf>
    <xf numFmtId="3" fontId="8" fillId="2" borderId="6" xfId="2" applyFont="1" applyFill="1" applyBorder="1" applyAlignment="1" applyProtection="1">
      <alignment vertical="center"/>
    </xf>
    <xf numFmtId="3" fontId="3" fillId="2" borderId="7" xfId="2" applyFont="1" applyFill="1" applyBorder="1" applyAlignment="1">
      <alignment vertical="center"/>
    </xf>
    <xf numFmtId="3" fontId="3" fillId="2" borderId="7" xfId="2" applyFont="1" applyFill="1" applyBorder="1" applyAlignment="1" applyProtection="1">
      <alignment vertical="center"/>
    </xf>
    <xf numFmtId="168" fontId="3" fillId="2" borderId="8" xfId="2" applyNumberFormat="1" applyFont="1" applyFill="1" applyBorder="1" applyAlignment="1">
      <alignment horizontal="left" vertical="center"/>
    </xf>
    <xf numFmtId="0" fontId="10" fillId="0" borderId="0" xfId="0" applyFont="1" applyAlignment="1">
      <alignment vertical="center"/>
    </xf>
    <xf numFmtId="4" fontId="3" fillId="0" borderId="0" xfId="0" applyNumberFormat="1" applyFont="1" applyFill="1" applyBorder="1" applyAlignment="1">
      <alignment horizontal="center" vertical="center"/>
    </xf>
    <xf numFmtId="4" fontId="10" fillId="0" borderId="0" xfId="0" applyNumberFormat="1" applyFont="1" applyFill="1" applyBorder="1" applyAlignment="1">
      <alignment horizontal="center" vertical="center"/>
    </xf>
    <xf numFmtId="0" fontId="9" fillId="0" borderId="0" xfId="0" applyFont="1" applyBorder="1" applyAlignment="1">
      <alignment vertical="center"/>
    </xf>
    <xf numFmtId="0" fontId="9" fillId="0" borderId="0" xfId="0" applyFont="1" applyFill="1" applyAlignment="1">
      <alignment vertical="center"/>
    </xf>
    <xf numFmtId="0" fontId="9" fillId="0" borderId="10" xfId="0" applyFont="1" applyBorder="1" applyAlignment="1">
      <alignment vertical="center"/>
    </xf>
    <xf numFmtId="169" fontId="7" fillId="0" borderId="10" xfId="3" applyNumberFormat="1" applyFont="1" applyBorder="1" applyAlignment="1">
      <alignment vertical="center"/>
    </xf>
    <xf numFmtId="169" fontId="7" fillId="5" borderId="10" xfId="3" applyNumberFormat="1" applyFont="1" applyFill="1" applyBorder="1" applyAlignment="1">
      <alignment vertical="center"/>
    </xf>
    <xf numFmtId="3" fontId="2" fillId="0" borderId="0" xfId="3" applyFont="1" applyFill="1" applyAlignment="1">
      <alignment vertical="center"/>
    </xf>
    <xf numFmtId="3" fontId="7" fillId="0" borderId="10" xfId="3" applyFont="1" applyBorder="1" applyAlignment="1">
      <alignment horizontal="center" vertical="center" wrapText="1"/>
    </xf>
    <xf numFmtId="3" fontId="7" fillId="5" borderId="10" xfId="3" applyFont="1" applyFill="1" applyBorder="1" applyAlignment="1">
      <alignment horizontal="center" vertical="center" wrapText="1"/>
    </xf>
    <xf numFmtId="3" fontId="7" fillId="6" borderId="10" xfId="3" applyFont="1" applyFill="1" applyBorder="1" applyAlignment="1">
      <alignment horizontal="center" vertical="center" wrapText="1"/>
    </xf>
    <xf numFmtId="3" fontId="3" fillId="0" borderId="0" xfId="3" applyFont="1" applyBorder="1" applyAlignment="1">
      <alignment horizontal="center" vertical="center"/>
    </xf>
    <xf numFmtId="3" fontId="8" fillId="0" borderId="0" xfId="2" applyFont="1" applyFill="1" applyBorder="1" applyAlignment="1" applyProtection="1">
      <alignment vertical="center"/>
    </xf>
    <xf numFmtId="0" fontId="12" fillId="0" borderId="0" xfId="0" applyFont="1" applyAlignment="1">
      <alignment vertical="center"/>
    </xf>
    <xf numFmtId="173" fontId="12" fillId="0" borderId="0" xfId="0" applyNumberFormat="1" applyFont="1" applyAlignment="1">
      <alignment vertical="center"/>
    </xf>
    <xf numFmtId="0" fontId="15" fillId="0" borderId="0" xfId="0" applyFont="1" applyAlignment="1">
      <alignment vertical="center"/>
    </xf>
    <xf numFmtId="0" fontId="9" fillId="0" borderId="0" xfId="0" applyFont="1" applyAlignment="1">
      <alignment vertical="center"/>
    </xf>
    <xf numFmtId="3" fontId="3" fillId="2" borderId="2" xfId="2" applyFont="1" applyFill="1" applyBorder="1" applyAlignment="1" applyProtection="1">
      <alignment vertical="center"/>
    </xf>
    <xf numFmtId="0" fontId="10" fillId="0" borderId="0" xfId="0" applyFont="1" applyAlignment="1">
      <alignment vertical="center"/>
    </xf>
    <xf numFmtId="0" fontId="9" fillId="0" borderId="0" xfId="0" applyFont="1" applyAlignment="1">
      <alignment vertical="center"/>
    </xf>
    <xf numFmtId="3" fontId="3" fillId="0" borderId="0" xfId="2" applyFont="1" applyFill="1" applyBorder="1" applyAlignment="1">
      <alignment vertical="center"/>
    </xf>
    <xf numFmtId="0" fontId="10" fillId="0" borderId="0" xfId="0" applyFont="1" applyAlignment="1">
      <alignment vertical="center"/>
    </xf>
    <xf numFmtId="4" fontId="3" fillId="0" borderId="0" xfId="0" applyNumberFormat="1" applyFont="1" applyFill="1" applyBorder="1" applyAlignment="1">
      <alignment horizontal="center" vertical="center"/>
    </xf>
    <xf numFmtId="4" fontId="10" fillId="0" borderId="0" xfId="0" applyNumberFormat="1" applyFont="1" applyFill="1" applyBorder="1" applyAlignment="1">
      <alignment horizontal="center" vertical="center"/>
    </xf>
    <xf numFmtId="3" fontId="3" fillId="0" borderId="0" xfId="2" applyFont="1" applyFill="1" applyBorder="1" applyAlignment="1" applyProtection="1">
      <alignment vertical="center"/>
    </xf>
    <xf numFmtId="0" fontId="15" fillId="0" borderId="0" xfId="0" applyFont="1" applyAlignment="1">
      <alignment vertical="center"/>
    </xf>
    <xf numFmtId="3" fontId="3" fillId="0" borderId="2" xfId="2" applyFont="1" applyFill="1" applyBorder="1" applyAlignment="1" applyProtection="1">
      <alignment vertical="center"/>
    </xf>
    <xf numFmtId="3" fontId="7" fillId="0" borderId="0" xfId="0" applyNumberFormat="1" applyFont="1" applyAlignment="1">
      <alignment vertical="center"/>
    </xf>
    <xf numFmtId="0" fontId="16" fillId="0" borderId="0" xfId="0" quotePrefix="1" applyFont="1" applyAlignment="1">
      <alignment vertical="center"/>
    </xf>
    <xf numFmtId="3" fontId="22" fillId="0" borderId="0" xfId="2" applyFont="1" applyFill="1" applyBorder="1" applyAlignment="1" applyProtection="1">
      <alignment vertical="center"/>
    </xf>
    <xf numFmtId="0" fontId="16"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4" fontId="25" fillId="0" borderId="0" xfId="0" applyNumberFormat="1" applyFont="1" applyFill="1" applyBorder="1" applyAlignment="1">
      <alignment horizontal="left" vertical="center"/>
    </xf>
    <xf numFmtId="3" fontId="19" fillId="0" borderId="2" xfId="2" applyFont="1" applyFill="1" applyBorder="1" applyAlignment="1" applyProtection="1">
      <alignment vertical="center"/>
    </xf>
    <xf numFmtId="3" fontId="3" fillId="0" borderId="4" xfId="2" applyFont="1" applyFill="1" applyBorder="1" applyAlignment="1" applyProtection="1">
      <alignment vertical="center"/>
    </xf>
    <xf numFmtId="3" fontId="3" fillId="0" borderId="6" xfId="2" applyFont="1" applyFill="1" applyBorder="1" applyAlignment="1" applyProtection="1">
      <alignment vertical="center"/>
    </xf>
    <xf numFmtId="3" fontId="3" fillId="0" borderId="7" xfId="2" applyFont="1" applyFill="1" applyBorder="1" applyAlignment="1" applyProtection="1">
      <alignment vertical="center"/>
    </xf>
    <xf numFmtId="3" fontId="8" fillId="0" borderId="10" xfId="3" applyFont="1" applyBorder="1" applyAlignment="1">
      <alignment horizontal="center" vertical="center" wrapText="1"/>
    </xf>
    <xf numFmtId="0" fontId="3" fillId="0" borderId="17" xfId="3" applyNumberFormat="1" applyFont="1" applyBorder="1" applyAlignment="1">
      <alignment horizontal="center" vertical="center"/>
    </xf>
    <xf numFmtId="3" fontId="3" fillId="0" borderId="17" xfId="3" applyFont="1" applyBorder="1" applyAlignment="1">
      <alignment horizontal="center" vertical="center"/>
    </xf>
    <xf numFmtId="172" fontId="3" fillId="0" borderId="17" xfId="1" applyNumberFormat="1" applyFont="1" applyBorder="1" applyAlignment="1">
      <alignment horizontal="center" vertical="center"/>
    </xf>
    <xf numFmtId="172" fontId="3" fillId="6" borderId="17" xfId="1" applyNumberFormat="1" applyFont="1" applyFill="1" applyBorder="1" applyAlignment="1">
      <alignment horizontal="center" vertical="center"/>
    </xf>
    <xf numFmtId="172" fontId="3" fillId="6" borderId="17" xfId="3" applyNumberFormat="1" applyFont="1" applyFill="1" applyBorder="1" applyAlignment="1">
      <alignment vertical="center"/>
    </xf>
    <xf numFmtId="169" fontId="3" fillId="4" borderId="17" xfId="3" applyNumberFormat="1" applyFont="1" applyFill="1" applyBorder="1" applyAlignment="1">
      <alignment vertical="center"/>
    </xf>
    <xf numFmtId="0" fontId="3" fillId="0" borderId="18" xfId="3" applyNumberFormat="1" applyFont="1" applyBorder="1" applyAlignment="1">
      <alignment horizontal="center" vertical="center"/>
    </xf>
    <xf numFmtId="3" fontId="3" fillId="0" borderId="18" xfId="3" applyFont="1" applyBorder="1" applyAlignment="1">
      <alignment horizontal="center" vertical="center"/>
    </xf>
    <xf numFmtId="172" fontId="3" fillId="0" borderId="18" xfId="3" applyNumberFormat="1" applyFont="1" applyBorder="1" applyAlignment="1">
      <alignment horizontal="center" vertical="center"/>
    </xf>
    <xf numFmtId="172" fontId="3" fillId="0" borderId="18" xfId="1" applyNumberFormat="1" applyFont="1" applyBorder="1" applyAlignment="1">
      <alignment horizontal="center" vertical="center"/>
    </xf>
    <xf numFmtId="172" fontId="3" fillId="0" borderId="19" xfId="1" applyNumberFormat="1" applyFont="1" applyBorder="1" applyAlignment="1">
      <alignment horizontal="center" vertical="center"/>
    </xf>
    <xf numFmtId="172" fontId="3" fillId="6" borderId="19" xfId="1" applyNumberFormat="1" applyFont="1" applyFill="1" applyBorder="1" applyAlignment="1">
      <alignment horizontal="center" vertical="center"/>
    </xf>
    <xf numFmtId="172" fontId="3" fillId="6" borderId="19" xfId="3" applyNumberFormat="1" applyFont="1" applyFill="1" applyBorder="1" applyAlignment="1">
      <alignment vertical="center"/>
    </xf>
    <xf numFmtId="0" fontId="3" fillId="0" borderId="20" xfId="3" applyNumberFormat="1" applyFont="1" applyBorder="1" applyAlignment="1">
      <alignment horizontal="center" vertical="center"/>
    </xf>
    <xf numFmtId="3" fontId="3" fillId="0" borderId="20" xfId="3" applyFont="1" applyBorder="1" applyAlignment="1">
      <alignment horizontal="center" vertical="center"/>
    </xf>
    <xf numFmtId="172" fontId="3" fillId="0" borderId="20" xfId="3" applyNumberFormat="1" applyFont="1" applyBorder="1" applyAlignment="1">
      <alignment horizontal="center" vertical="center"/>
    </xf>
    <xf numFmtId="172" fontId="3" fillId="0" borderId="20" xfId="1" applyNumberFormat="1" applyFont="1" applyBorder="1" applyAlignment="1">
      <alignment horizontal="center" vertical="center"/>
    </xf>
    <xf numFmtId="172" fontId="3" fillId="0" borderId="21" xfId="1" applyNumberFormat="1" applyFont="1" applyBorder="1" applyAlignment="1">
      <alignment horizontal="center" vertical="center"/>
    </xf>
    <xf numFmtId="172" fontId="3" fillId="6" borderId="21" xfId="1" applyNumberFormat="1" applyFont="1" applyFill="1" applyBorder="1" applyAlignment="1">
      <alignment horizontal="center" vertical="center"/>
    </xf>
    <xf numFmtId="172" fontId="3" fillId="6" borderId="21" xfId="3" applyNumberFormat="1" applyFont="1" applyFill="1" applyBorder="1" applyAlignment="1">
      <alignment vertical="center"/>
    </xf>
    <xf numFmtId="3" fontId="8" fillId="2" borderId="2" xfId="2" applyFont="1" applyFill="1" applyBorder="1" applyAlignment="1" applyProtection="1">
      <alignment vertical="center"/>
    </xf>
    <xf numFmtId="3" fontId="8" fillId="2" borderId="0" xfId="2" applyFont="1" applyFill="1" applyBorder="1" applyAlignment="1" applyProtection="1">
      <alignment vertical="center"/>
    </xf>
    <xf numFmtId="3" fontId="8" fillId="2" borderId="7" xfId="2" applyFont="1" applyFill="1" applyBorder="1" applyAlignment="1" applyProtection="1">
      <alignment vertical="center"/>
    </xf>
    <xf numFmtId="4" fontId="25" fillId="0" borderId="0" xfId="0" applyNumberFormat="1" applyFont="1" applyFill="1" applyBorder="1" applyAlignment="1">
      <alignment horizontal="center" vertical="center"/>
    </xf>
    <xf numFmtId="3" fontId="20" fillId="0" borderId="0" xfId="2" applyFont="1" applyFill="1" applyBorder="1" applyAlignment="1" applyProtection="1">
      <alignment vertical="center"/>
    </xf>
    <xf numFmtId="172" fontId="3" fillId="6" borderId="26" xfId="3" applyNumberFormat="1" applyFont="1" applyFill="1" applyBorder="1" applyAlignment="1">
      <alignment vertical="center"/>
    </xf>
    <xf numFmtId="170" fontId="3" fillId="5" borderId="27" xfId="3" applyNumberFormat="1" applyFont="1" applyFill="1" applyBorder="1" applyAlignment="1">
      <alignment vertical="center"/>
    </xf>
    <xf numFmtId="170" fontId="3" fillId="5" borderId="28" xfId="3" applyNumberFormat="1" applyFont="1" applyFill="1" applyBorder="1" applyAlignment="1">
      <alignment vertical="center"/>
    </xf>
    <xf numFmtId="170" fontId="3" fillId="5" borderId="29" xfId="3" applyNumberFormat="1" applyFont="1" applyFill="1" applyBorder="1" applyAlignment="1">
      <alignment vertical="center"/>
    </xf>
    <xf numFmtId="3" fontId="7" fillId="4" borderId="22" xfId="3" applyFont="1" applyFill="1" applyBorder="1" applyAlignment="1">
      <alignment horizontal="center" vertical="center" wrapText="1"/>
    </xf>
    <xf numFmtId="169" fontId="7" fillId="4" borderId="23" xfId="3" applyNumberFormat="1" applyFont="1"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vertical="center" wrapText="1"/>
    </xf>
    <xf numFmtId="3" fontId="34" fillId="0" borderId="0" xfId="3" applyFont="1" applyBorder="1" applyAlignment="1">
      <alignment horizontal="center" vertical="center" wrapText="1"/>
    </xf>
    <xf numFmtId="172" fontId="33" fillId="0" borderId="0" xfId="0" applyNumberFormat="1" applyFont="1" applyBorder="1" applyAlignment="1">
      <alignment vertical="center"/>
    </xf>
    <xf numFmtId="172" fontId="33" fillId="0" borderId="0" xfId="1" applyNumberFormat="1" applyFont="1" applyBorder="1" applyAlignment="1">
      <alignment horizontal="center" vertical="center"/>
    </xf>
    <xf numFmtId="170" fontId="33" fillId="0" borderId="0" xfId="0" applyNumberFormat="1" applyFont="1" applyBorder="1" applyAlignment="1">
      <alignment vertical="center"/>
    </xf>
    <xf numFmtId="173" fontId="33" fillId="0" borderId="0" xfId="0" applyNumberFormat="1" applyFont="1" applyBorder="1" applyAlignment="1">
      <alignment vertical="center"/>
    </xf>
    <xf numFmtId="172" fontId="33" fillId="0" borderId="0" xfId="3" applyNumberFormat="1" applyFont="1" applyBorder="1" applyAlignment="1">
      <alignment horizontal="center" vertical="center"/>
    </xf>
    <xf numFmtId="0" fontId="9" fillId="0" borderId="0" xfId="0" applyFont="1" applyAlignment="1" applyProtection="1">
      <alignment vertical="center"/>
    </xf>
    <xf numFmtId="0" fontId="16" fillId="0" borderId="0" xfId="0" quotePrefix="1" applyFont="1" applyAlignment="1" applyProtection="1">
      <alignment vertical="center"/>
    </xf>
    <xf numFmtId="4" fontId="2" fillId="0" borderId="0" xfId="0" applyNumberFormat="1" applyFont="1" applyFill="1" applyBorder="1" applyAlignment="1" applyProtection="1">
      <alignment horizontal="center" vertical="center"/>
    </xf>
    <xf numFmtId="4" fontId="9" fillId="0" borderId="0" xfId="0" applyNumberFormat="1" applyFont="1" applyFill="1" applyBorder="1" applyAlignment="1" applyProtection="1">
      <alignment horizontal="center" vertical="center"/>
    </xf>
    <xf numFmtId="4" fontId="9" fillId="0" borderId="0" xfId="0" applyNumberFormat="1" applyFont="1" applyFill="1" applyBorder="1" applyAlignment="1" applyProtection="1">
      <alignment vertical="center"/>
    </xf>
    <xf numFmtId="0" fontId="9" fillId="0" borderId="0" xfId="0" applyFont="1" applyAlignment="1" applyProtection="1">
      <alignment vertical="center" wrapText="1"/>
    </xf>
    <xf numFmtId="0" fontId="29" fillId="0" borderId="0" xfId="0" applyFont="1" applyProtection="1"/>
    <xf numFmtId="168" fontId="8" fillId="2" borderId="2" xfId="2" applyNumberFormat="1" applyFont="1" applyFill="1" applyBorder="1" applyAlignment="1" applyProtection="1">
      <alignment horizontal="left" vertical="center" wrapText="1"/>
    </xf>
    <xf numFmtId="168" fontId="3" fillId="2" borderId="3" xfId="2" applyNumberFormat="1" applyFont="1" applyFill="1" applyBorder="1" applyAlignment="1" applyProtection="1">
      <alignment horizontal="left" vertical="center"/>
    </xf>
    <xf numFmtId="3" fontId="3" fillId="2" borderId="0" xfId="2" applyFont="1" applyFill="1" applyBorder="1" applyAlignment="1" applyProtection="1">
      <alignment vertical="center"/>
    </xf>
    <xf numFmtId="168" fontId="8" fillId="2" borderId="0" xfId="2" applyNumberFormat="1" applyFont="1" applyFill="1" applyBorder="1" applyAlignment="1" applyProtection="1">
      <alignment horizontal="left" vertical="center" wrapText="1"/>
    </xf>
    <xf numFmtId="173" fontId="3" fillId="2" borderId="5" xfId="2" quotePrefix="1" applyNumberFormat="1" applyFont="1" applyFill="1" applyBorder="1" applyAlignment="1" applyProtection="1">
      <alignment horizontal="left" vertical="center"/>
    </xf>
    <xf numFmtId="168" fontId="8" fillId="2" borderId="7" xfId="2" applyNumberFormat="1" applyFont="1" applyFill="1" applyBorder="1" applyAlignment="1" applyProtection="1">
      <alignment horizontal="left" vertical="center" wrapText="1"/>
    </xf>
    <xf numFmtId="168" fontId="3" fillId="2" borderId="8" xfId="2" applyNumberFormat="1" applyFont="1" applyFill="1" applyBorder="1" applyAlignment="1" applyProtection="1">
      <alignment horizontal="left" vertical="center"/>
    </xf>
    <xf numFmtId="168" fontId="8" fillId="0" borderId="0" xfId="2" applyNumberFormat="1" applyFont="1" applyFill="1" applyBorder="1" applyAlignment="1" applyProtection="1">
      <alignment horizontal="left" vertical="center" wrapText="1"/>
    </xf>
    <xf numFmtId="168" fontId="3" fillId="0" borderId="0" xfId="2" applyNumberFormat="1" applyFont="1" applyFill="1" applyBorder="1" applyAlignment="1" applyProtection="1">
      <alignment horizontal="left" vertical="center"/>
    </xf>
    <xf numFmtId="0" fontId="9" fillId="0" borderId="0" xfId="0" applyFont="1" applyFill="1" applyAlignment="1" applyProtection="1">
      <alignment vertical="center"/>
    </xf>
    <xf numFmtId="0" fontId="9" fillId="0" borderId="1" xfId="0" applyFont="1" applyFill="1" applyBorder="1" applyAlignment="1" applyProtection="1">
      <alignment vertical="center"/>
    </xf>
    <xf numFmtId="168" fontId="8" fillId="0" borderId="3" xfId="2" applyNumberFormat="1" applyFont="1" applyFill="1" applyBorder="1" applyAlignment="1" applyProtection="1">
      <alignment horizontal="left" vertical="center" wrapText="1"/>
    </xf>
    <xf numFmtId="168" fontId="8" fillId="0" borderId="5" xfId="2" applyNumberFormat="1" applyFont="1" applyFill="1" applyBorder="1" applyAlignment="1" applyProtection="1">
      <alignment horizontal="left" vertical="center" wrapText="1"/>
    </xf>
    <xf numFmtId="0" fontId="10" fillId="0" borderId="4" xfId="0" applyFont="1" applyBorder="1" applyAlignment="1" applyProtection="1">
      <alignment vertical="center"/>
    </xf>
    <xf numFmtId="0" fontId="9" fillId="0" borderId="7"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Fill="1" applyAlignment="1" applyProtection="1">
      <alignment vertical="center" wrapText="1"/>
    </xf>
    <xf numFmtId="168" fontId="8" fillId="0" borderId="8" xfId="2" applyNumberFormat="1" applyFont="1" applyFill="1" applyBorder="1" applyAlignment="1" applyProtection="1">
      <alignment horizontal="left" vertical="center" wrapText="1"/>
    </xf>
    <xf numFmtId="4" fontId="3" fillId="0" borderId="1" xfId="0" quotePrefix="1" applyNumberFormat="1" applyFont="1" applyFill="1" applyBorder="1" applyAlignment="1" applyProtection="1">
      <alignment horizontal="left" vertical="center"/>
    </xf>
    <xf numFmtId="0" fontId="11" fillId="0" borderId="2" xfId="0" applyFont="1" applyBorder="1" applyAlignment="1" applyProtection="1">
      <alignment vertical="center"/>
    </xf>
    <xf numFmtId="0" fontId="10" fillId="0" borderId="2" xfId="1" applyNumberFormat="1" applyFont="1" applyFill="1" applyBorder="1" applyAlignment="1" applyProtection="1">
      <alignment vertical="center"/>
    </xf>
    <xf numFmtId="0" fontId="10" fillId="0" borderId="2" xfId="0" applyFont="1" applyBorder="1" applyAlignment="1" applyProtection="1">
      <alignment horizontal="center" vertical="center"/>
    </xf>
    <xf numFmtId="167" fontId="10" fillId="0" borderId="2" xfId="1" applyNumberFormat="1" applyFont="1" applyFill="1" applyBorder="1" applyAlignment="1" applyProtection="1">
      <alignment vertical="center"/>
    </xf>
    <xf numFmtId="0" fontId="9" fillId="0" borderId="2" xfId="0" applyFont="1" applyBorder="1" applyAlignment="1" applyProtection="1">
      <alignment vertical="center"/>
    </xf>
    <xf numFmtId="0" fontId="10" fillId="0" borderId="11" xfId="0" applyFont="1" applyBorder="1" applyAlignment="1" applyProtection="1">
      <alignment vertical="center"/>
    </xf>
    <xf numFmtId="0" fontId="10" fillId="0" borderId="3" xfId="0" applyFont="1" applyBorder="1" applyAlignment="1" applyProtection="1">
      <alignment vertical="center"/>
    </xf>
    <xf numFmtId="4" fontId="3" fillId="0" borderId="4" xfId="0" quotePrefix="1" applyNumberFormat="1" applyFont="1" applyFill="1" applyBorder="1" applyAlignment="1" applyProtection="1">
      <alignment horizontal="left" vertical="center"/>
    </xf>
    <xf numFmtId="0" fontId="10" fillId="0" borderId="0" xfId="0" applyFont="1" applyBorder="1" applyAlignment="1" applyProtection="1">
      <alignment horizontal="center" vertical="center"/>
    </xf>
    <xf numFmtId="167" fontId="10" fillId="0" borderId="0" xfId="1" applyNumberFormat="1" applyFont="1" applyFill="1" applyBorder="1" applyAlignment="1" applyProtection="1">
      <alignment vertical="center"/>
    </xf>
    <xf numFmtId="167" fontId="7" fillId="0" borderId="12" xfId="1" applyNumberFormat="1" applyFont="1" applyFill="1" applyBorder="1" applyAlignment="1" applyProtection="1">
      <alignment horizontal="right" vertical="center"/>
    </xf>
    <xf numFmtId="3" fontId="3" fillId="0" borderId="0" xfId="2" applyFont="1" applyFill="1" applyBorder="1" applyAlignment="1" applyProtection="1">
      <alignment horizontal="left" vertical="center" indent="1"/>
    </xf>
    <xf numFmtId="3" fontId="25" fillId="0" borderId="0" xfId="2" applyFont="1" applyFill="1" applyBorder="1" applyAlignment="1" applyProtection="1">
      <alignment vertical="center"/>
    </xf>
    <xf numFmtId="172" fontId="3" fillId="0" borderId="0" xfId="2" applyNumberFormat="1" applyFont="1" applyFill="1" applyBorder="1" applyAlignment="1" applyProtection="1">
      <alignment vertical="center"/>
    </xf>
    <xf numFmtId="0" fontId="10" fillId="0" borderId="0" xfId="0" applyFont="1" applyBorder="1" applyAlignment="1" applyProtection="1">
      <alignment vertical="center"/>
    </xf>
    <xf numFmtId="172" fontId="10" fillId="0" borderId="12" xfId="0" applyNumberFormat="1" applyFont="1" applyBorder="1" applyAlignment="1" applyProtection="1">
      <alignment vertical="center"/>
    </xf>
    <xf numFmtId="4" fontId="10" fillId="0" borderId="4" xfId="0" quotePrefix="1" applyNumberFormat="1" applyFont="1" applyFill="1" applyBorder="1" applyAlignment="1" applyProtection="1">
      <alignment vertical="center"/>
    </xf>
    <xf numFmtId="4" fontId="3" fillId="0" borderId="0" xfId="0" applyNumberFormat="1" applyFont="1" applyFill="1" applyBorder="1" applyAlignment="1" applyProtection="1">
      <alignment horizontal="center" vertical="center"/>
    </xf>
    <xf numFmtId="4" fontId="3" fillId="0" borderId="0" xfId="0" applyNumberFormat="1" applyFont="1" applyFill="1" applyBorder="1" applyAlignment="1" applyProtection="1">
      <alignment horizontal="left" vertical="center"/>
    </xf>
    <xf numFmtId="172" fontId="10" fillId="0" borderId="12" xfId="1" applyNumberFormat="1" applyFont="1" applyFill="1" applyBorder="1" applyAlignment="1" applyProtection="1">
      <alignment horizontal="right" vertical="center"/>
    </xf>
    <xf numFmtId="0" fontId="16" fillId="0" borderId="0" xfId="0" applyFont="1" applyAlignment="1" applyProtection="1">
      <alignment vertical="center"/>
    </xf>
    <xf numFmtId="0" fontId="10" fillId="0" borderId="0" xfId="1" applyNumberFormat="1" applyFont="1" applyFill="1" applyBorder="1" applyAlignment="1" applyProtection="1">
      <alignment vertical="center"/>
    </xf>
    <xf numFmtId="0" fontId="9" fillId="0" borderId="4" xfId="0" applyFont="1" applyBorder="1" applyAlignment="1" applyProtection="1">
      <alignment vertical="center"/>
    </xf>
    <xf numFmtId="0" fontId="11" fillId="0" borderId="0" xfId="0" applyFont="1" applyBorder="1" applyAlignment="1" applyProtection="1">
      <alignment vertical="center"/>
    </xf>
    <xf numFmtId="0" fontId="9" fillId="0" borderId="12" xfId="0" applyFont="1" applyBorder="1" applyAlignment="1" applyProtection="1">
      <alignment vertical="center"/>
    </xf>
    <xf numFmtId="0" fontId="13" fillId="0" borderId="0" xfId="0" quotePrefix="1" applyFont="1" applyFill="1" applyBorder="1" applyAlignment="1" applyProtection="1">
      <alignment vertical="center"/>
    </xf>
    <xf numFmtId="0" fontId="14" fillId="0" borderId="0" xfId="0" applyFont="1" applyFill="1" applyBorder="1" applyAlignment="1" applyProtection="1">
      <alignment vertical="center"/>
    </xf>
    <xf numFmtId="9" fontId="13" fillId="0" borderId="12" xfId="0" applyNumberFormat="1" applyFont="1" applyFill="1" applyBorder="1" applyAlignment="1" applyProtection="1">
      <alignment horizontal="center" vertical="center"/>
    </xf>
    <xf numFmtId="0" fontId="9" fillId="0" borderId="5" xfId="0" applyFont="1" applyBorder="1" applyAlignment="1" applyProtection="1">
      <alignment vertical="center"/>
    </xf>
    <xf numFmtId="0" fontId="10" fillId="0" borderId="4" xfId="0" quotePrefix="1" applyFont="1" applyBorder="1" applyAlignment="1" applyProtection="1">
      <alignment vertical="center"/>
    </xf>
    <xf numFmtId="0" fontId="9" fillId="0" borderId="0" xfId="0" applyFont="1" applyFill="1" applyBorder="1" applyAlignment="1" applyProtection="1">
      <alignment vertical="center"/>
    </xf>
    <xf numFmtId="4" fontId="10" fillId="0" borderId="12" xfId="0" applyNumberFormat="1" applyFont="1" applyFill="1" applyBorder="1" applyAlignment="1" applyProtection="1">
      <alignment horizontal="center" vertical="center"/>
    </xf>
    <xf numFmtId="0" fontId="10" fillId="0" borderId="0" xfId="0" applyFont="1" applyFill="1" applyBorder="1" applyAlignment="1" applyProtection="1">
      <alignment vertical="center"/>
    </xf>
    <xf numFmtId="174" fontId="10" fillId="0" borderId="12" xfId="1" applyNumberFormat="1" applyFont="1" applyFill="1" applyBorder="1" applyAlignment="1" applyProtection="1">
      <alignment vertical="center"/>
    </xf>
    <xf numFmtId="0" fontId="10" fillId="0" borderId="4" xfId="0" quotePrefix="1" applyFont="1" applyFill="1" applyBorder="1" applyAlignment="1" applyProtection="1">
      <alignment vertical="center"/>
    </xf>
    <xf numFmtId="171" fontId="10" fillId="0" borderId="0" xfId="0" applyNumberFormat="1" applyFont="1" applyFill="1" applyBorder="1" applyAlignment="1" applyProtection="1">
      <alignment horizontal="right" vertical="center"/>
    </xf>
    <xf numFmtId="0" fontId="25" fillId="0" borderId="0" xfId="0" applyFont="1" applyBorder="1" applyAlignment="1" applyProtection="1">
      <alignment vertical="center"/>
    </xf>
    <xf numFmtId="0" fontId="10" fillId="0" borderId="6" xfId="0" quotePrefix="1" applyFont="1" applyBorder="1" applyAlignment="1" applyProtection="1">
      <alignment vertical="center"/>
    </xf>
    <xf numFmtId="0" fontId="10" fillId="0" borderId="7" xfId="0" applyFont="1" applyBorder="1" applyAlignment="1" applyProtection="1">
      <alignment vertical="center"/>
    </xf>
    <xf numFmtId="171" fontId="10" fillId="0" borderId="7" xfId="0" applyNumberFormat="1" applyFont="1" applyFill="1" applyBorder="1" applyAlignment="1" applyProtection="1">
      <alignment horizontal="right" vertical="center"/>
    </xf>
    <xf numFmtId="0" fontId="25" fillId="0" borderId="7" xfId="0" applyFont="1" applyBorder="1" applyAlignment="1" applyProtection="1">
      <alignment vertical="center"/>
    </xf>
    <xf numFmtId="0" fontId="10" fillId="0" borderId="7" xfId="0" applyFont="1" applyFill="1" applyBorder="1" applyAlignment="1" applyProtection="1">
      <alignment horizontal="right" vertical="center"/>
    </xf>
    <xf numFmtId="0" fontId="10" fillId="0" borderId="7" xfId="0" applyFont="1" applyFill="1" applyBorder="1" applyAlignment="1" applyProtection="1">
      <alignment vertical="center"/>
    </xf>
    <xf numFmtId="174" fontId="10" fillId="0" borderId="13" xfId="1" applyNumberFormat="1" applyFont="1" applyFill="1" applyBorder="1" applyAlignment="1" applyProtection="1">
      <alignment vertical="center"/>
    </xf>
    <xf numFmtId="0" fontId="20" fillId="0" borderId="1" xfId="0" applyFont="1" applyBorder="1" applyAlignment="1" applyProtection="1">
      <alignment vertical="center"/>
    </xf>
    <xf numFmtId="4" fontId="3" fillId="0" borderId="2" xfId="0" applyNumberFormat="1" applyFont="1" applyFill="1" applyBorder="1" applyAlignment="1" applyProtection="1">
      <alignment horizontal="center" vertical="center"/>
    </xf>
    <xf numFmtId="4" fontId="10" fillId="0" borderId="2" xfId="0" applyNumberFormat="1" applyFont="1" applyFill="1" applyBorder="1" applyAlignment="1" applyProtection="1">
      <alignment horizontal="center" vertical="center"/>
    </xf>
    <xf numFmtId="4" fontId="10" fillId="0" borderId="2" xfId="0" applyNumberFormat="1" applyFont="1" applyFill="1" applyBorder="1" applyAlignment="1" applyProtection="1">
      <alignment vertical="center"/>
    </xf>
    <xf numFmtId="0" fontId="10" fillId="0" borderId="2" xfId="0" applyFont="1" applyBorder="1" applyAlignment="1" applyProtection="1">
      <alignment vertical="center"/>
    </xf>
    <xf numFmtId="3" fontId="11" fillId="0" borderId="0" xfId="0" applyNumberFormat="1" applyFont="1" applyFill="1" applyBorder="1" applyAlignment="1" applyProtection="1">
      <alignment horizontal="left" vertical="center"/>
    </xf>
    <xf numFmtId="4" fontId="8" fillId="0" borderId="0" xfId="0" applyNumberFormat="1" applyFont="1" applyFill="1" applyBorder="1" applyAlignment="1" applyProtection="1">
      <alignment horizontal="right" vertical="center"/>
    </xf>
    <xf numFmtId="0" fontId="0" fillId="0" borderId="0" xfId="0" applyProtection="1"/>
    <xf numFmtId="0" fontId="10" fillId="0" borderId="0" xfId="0" applyFont="1" applyBorder="1" applyAlignment="1" applyProtection="1">
      <alignment horizontal="left" vertical="center" indent="2"/>
    </xf>
    <xf numFmtId="0" fontId="25" fillId="0" borderId="0" xfId="0" applyFont="1" applyBorder="1" applyAlignment="1" applyProtection="1">
      <alignment horizontal="left" vertical="center" indent="2"/>
    </xf>
    <xf numFmtId="1" fontId="10" fillId="0" borderId="0" xfId="1" applyNumberFormat="1" applyFont="1" applyFill="1" applyBorder="1" applyAlignment="1" applyProtection="1">
      <alignment vertical="center"/>
    </xf>
    <xf numFmtId="4" fontId="3" fillId="0" borderId="0" xfId="0" quotePrefix="1" applyNumberFormat="1" applyFont="1" applyFill="1" applyBorder="1" applyAlignment="1" applyProtection="1">
      <alignment horizontal="left" vertical="center" indent="2"/>
    </xf>
    <xf numFmtId="0" fontId="10" fillId="0" borderId="0" xfId="0" applyFont="1" applyFill="1" applyBorder="1" applyAlignment="1" applyProtection="1">
      <alignment horizontal="left" vertical="center"/>
    </xf>
    <xf numFmtId="0" fontId="10" fillId="0" borderId="0" xfId="1" applyNumberFormat="1" applyFont="1" applyFill="1" applyBorder="1" applyAlignment="1" applyProtection="1">
      <alignment horizontal="left" vertical="center" indent="2"/>
    </xf>
    <xf numFmtId="0" fontId="16" fillId="0" borderId="0" xfId="0" applyFont="1" applyBorder="1" applyAlignment="1" applyProtection="1">
      <alignment vertical="center"/>
    </xf>
    <xf numFmtId="0" fontId="7" fillId="0" borderId="4" xfId="0" applyFont="1" applyBorder="1" applyAlignment="1" applyProtection="1">
      <alignment vertical="center"/>
    </xf>
    <xf numFmtId="4" fontId="10" fillId="0" borderId="0" xfId="0" applyNumberFormat="1" applyFont="1" applyFill="1" applyBorder="1" applyAlignment="1" applyProtection="1">
      <alignment horizontal="center" vertical="center"/>
    </xf>
    <xf numFmtId="4" fontId="10" fillId="0" borderId="0" xfId="0" applyNumberFormat="1" applyFont="1" applyFill="1" applyBorder="1" applyAlignment="1" applyProtection="1">
      <alignment vertical="center"/>
    </xf>
    <xf numFmtId="0" fontId="10" fillId="0" borderId="12" xfId="0" applyFont="1" applyBorder="1" applyAlignment="1" applyProtection="1">
      <alignmen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172" fontId="8" fillId="0" borderId="0" xfId="1" applyNumberFormat="1" applyFont="1" applyFill="1" applyBorder="1" applyAlignment="1" applyProtection="1">
      <alignment vertical="center"/>
    </xf>
    <xf numFmtId="0" fontId="16" fillId="0" borderId="12" xfId="0" applyFont="1" applyBorder="1" applyAlignment="1" applyProtection="1">
      <alignment vertical="center"/>
    </xf>
    <xf numFmtId="172" fontId="10" fillId="0" borderId="0" xfId="1" applyNumberFormat="1" applyFont="1" applyFill="1" applyBorder="1" applyAlignment="1" applyProtection="1">
      <alignment vertical="center"/>
    </xf>
    <xf numFmtId="0" fontId="16" fillId="0" borderId="0" xfId="0" applyFont="1" applyFill="1" applyBorder="1" applyAlignment="1" applyProtection="1">
      <alignment vertical="center"/>
    </xf>
    <xf numFmtId="172" fontId="3" fillId="0" borderId="0" xfId="0" applyNumberFormat="1" applyFont="1" applyFill="1" applyAlignment="1" applyProtection="1">
      <alignment vertical="center"/>
    </xf>
    <xf numFmtId="4" fontId="3" fillId="0" borderId="0" xfId="0" quotePrefix="1" applyNumberFormat="1" applyFont="1" applyFill="1" applyBorder="1" applyAlignment="1" applyProtection="1">
      <alignment horizontal="left" vertical="center"/>
    </xf>
    <xf numFmtId="167" fontId="10" fillId="0" borderId="12" xfId="1"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172" fontId="10" fillId="0" borderId="0" xfId="0" applyNumberFormat="1" applyFont="1" applyAlignment="1" applyProtection="1">
      <alignment vertical="center"/>
    </xf>
    <xf numFmtId="10" fontId="10" fillId="0" borderId="0" xfId="0" applyNumberFormat="1" applyFont="1" applyFill="1" applyBorder="1" applyAlignment="1" applyProtection="1">
      <alignment horizontal="center" vertical="center"/>
    </xf>
    <xf numFmtId="172" fontId="10" fillId="0" borderId="0" xfId="0" applyNumberFormat="1" applyFont="1" applyFill="1" applyAlignment="1" applyProtection="1">
      <alignment vertical="center"/>
    </xf>
    <xf numFmtId="167" fontId="10" fillId="0" borderId="12" xfId="1" applyNumberFormat="1" applyFont="1" applyFill="1" applyBorder="1" applyAlignment="1" applyProtection="1">
      <alignment horizontal="right" vertical="center"/>
    </xf>
    <xf numFmtId="172" fontId="9" fillId="0" borderId="0" xfId="0" applyNumberFormat="1" applyFont="1" applyBorder="1" applyAlignment="1" applyProtection="1">
      <alignment vertical="center"/>
    </xf>
    <xf numFmtId="10" fontId="9" fillId="0" borderId="0" xfId="0" applyNumberFormat="1" applyFont="1" applyAlignment="1" applyProtection="1">
      <alignment vertical="center"/>
    </xf>
    <xf numFmtId="172" fontId="10" fillId="0" borderId="0" xfId="0" applyNumberFormat="1" applyFont="1" applyBorder="1" applyAlignment="1" applyProtection="1">
      <alignment vertical="center"/>
    </xf>
    <xf numFmtId="172" fontId="10" fillId="0" borderId="12" xfId="1" applyNumberFormat="1" applyFont="1" applyFill="1" applyBorder="1" applyAlignment="1" applyProtection="1">
      <alignment vertical="center"/>
    </xf>
    <xf numFmtId="0" fontId="30" fillId="0" borderId="0" xfId="5" applyAlignment="1" applyProtection="1">
      <alignment vertical="center"/>
    </xf>
    <xf numFmtId="10" fontId="9" fillId="0" borderId="0" xfId="0" applyNumberFormat="1" applyFont="1" applyFill="1" applyBorder="1" applyAlignment="1" applyProtection="1">
      <alignment vertical="center"/>
    </xf>
    <xf numFmtId="172" fontId="10" fillId="0" borderId="0" xfId="0" applyNumberFormat="1" applyFont="1" applyFill="1" applyBorder="1" applyAlignment="1" applyProtection="1">
      <alignment vertical="center"/>
    </xf>
    <xf numFmtId="0" fontId="24" fillId="0" borderId="0" xfId="0" applyFont="1" applyBorder="1" applyAlignment="1" applyProtection="1">
      <alignment vertical="center"/>
    </xf>
    <xf numFmtId="0" fontId="10" fillId="0" borderId="0" xfId="0" applyFont="1" applyFill="1" applyAlignment="1" applyProtection="1">
      <alignment vertical="center"/>
    </xf>
    <xf numFmtId="167" fontId="3" fillId="0" borderId="0" xfId="1" applyNumberFormat="1" applyFont="1" applyFill="1" applyBorder="1" applyAlignment="1" applyProtection="1">
      <alignment vertical="center"/>
    </xf>
    <xf numFmtId="9" fontId="10" fillId="0" borderId="0" xfId="0" applyNumberFormat="1" applyFont="1" applyFill="1" applyAlignment="1" applyProtection="1">
      <alignment vertical="center"/>
    </xf>
    <xf numFmtId="4" fontId="3" fillId="0" borderId="0" xfId="0" applyNumberFormat="1" applyFont="1" applyFill="1" applyBorder="1" applyAlignment="1" applyProtection="1">
      <alignment horizontal="left" vertical="center" indent="1"/>
    </xf>
    <xf numFmtId="0" fontId="9" fillId="0" borderId="6" xfId="0" applyFont="1" applyBorder="1" applyAlignment="1" applyProtection="1">
      <alignment vertical="center"/>
    </xf>
    <xf numFmtId="0" fontId="9" fillId="0" borderId="7" xfId="0" applyFont="1" applyFill="1" applyBorder="1" applyAlignment="1" applyProtection="1">
      <alignment vertical="center"/>
    </xf>
    <xf numFmtId="4" fontId="10" fillId="0" borderId="13" xfId="0" applyNumberFormat="1" applyFont="1" applyFill="1" applyBorder="1" applyAlignment="1" applyProtection="1">
      <alignment horizontal="center" vertical="center"/>
    </xf>
    <xf numFmtId="0" fontId="9" fillId="0" borderId="0" xfId="0" applyFont="1" applyBorder="1" applyAlignment="1" applyProtection="1">
      <alignment vertical="center" wrapText="1"/>
    </xf>
    <xf numFmtId="171" fontId="10" fillId="0" borderId="0" xfId="0" applyNumberFormat="1" applyFont="1" applyFill="1" applyBorder="1" applyAlignment="1" applyProtection="1">
      <alignment horizontal="center" vertical="center"/>
    </xf>
    <xf numFmtId="0" fontId="9" fillId="0" borderId="2" xfId="0" applyFont="1" applyBorder="1" applyAlignment="1" applyProtection="1">
      <alignment vertical="center" wrapText="1"/>
    </xf>
    <xf numFmtId="3" fontId="26" fillId="0" borderId="0" xfId="0" applyNumberFormat="1" applyFont="1" applyFill="1" applyBorder="1" applyAlignment="1" applyProtection="1">
      <alignment horizontal="left" vertical="center"/>
    </xf>
    <xf numFmtId="4" fontId="8" fillId="0" borderId="12" xfId="0" applyNumberFormat="1" applyFont="1" applyFill="1" applyBorder="1" applyAlignment="1" applyProtection="1">
      <alignment horizontal="right" vertical="center"/>
    </xf>
    <xf numFmtId="4" fontId="3" fillId="0" borderId="12" xfId="0" quotePrefix="1" applyNumberFormat="1" applyFont="1" applyFill="1" applyBorder="1" applyAlignment="1" applyProtection="1">
      <alignment horizontal="left" vertical="center"/>
    </xf>
    <xf numFmtId="0" fontId="10" fillId="0" borderId="12" xfId="0" applyFont="1" applyFill="1" applyBorder="1" applyAlignment="1" applyProtection="1">
      <alignment vertical="center"/>
    </xf>
    <xf numFmtId="172" fontId="9"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16" fillId="0" borderId="0" xfId="0" applyFont="1" applyFill="1" applyAlignment="1" applyProtection="1">
      <alignment vertical="center"/>
    </xf>
    <xf numFmtId="4" fontId="22" fillId="0" borderId="12" xfId="0" applyNumberFormat="1" applyFont="1" applyFill="1" applyBorder="1" applyAlignment="1" applyProtection="1">
      <alignment horizontal="right" vertical="center"/>
    </xf>
    <xf numFmtId="0" fontId="9" fillId="0" borderId="13" xfId="0" applyFont="1" applyFill="1" applyBorder="1" applyAlignment="1" applyProtection="1">
      <alignment vertical="center"/>
    </xf>
    <xf numFmtId="4" fontId="10" fillId="0" borderId="0" xfId="0" quotePrefix="1" applyNumberFormat="1" applyFont="1" applyFill="1" applyBorder="1" applyAlignment="1" applyProtection="1">
      <alignment vertical="center"/>
    </xf>
    <xf numFmtId="164" fontId="7" fillId="0" borderId="0" xfId="1" applyNumberFormat="1" applyFont="1" applyFill="1" applyBorder="1" applyAlignment="1" applyProtection="1">
      <alignment horizontal="right" vertical="center"/>
    </xf>
    <xf numFmtId="168" fontId="8" fillId="2" borderId="2" xfId="2" applyNumberFormat="1" applyFont="1" applyFill="1" applyBorder="1" applyAlignment="1" applyProtection="1">
      <alignment horizontal="left" vertical="center"/>
    </xf>
    <xf numFmtId="3" fontId="3" fillId="2" borderId="0" xfId="2" quotePrefix="1" applyFont="1" applyFill="1" applyBorder="1" applyAlignment="1" applyProtection="1">
      <alignment vertical="center"/>
    </xf>
    <xf numFmtId="168" fontId="8" fillId="2" borderId="0" xfId="2" applyNumberFormat="1" applyFont="1" applyFill="1" applyBorder="1" applyAlignment="1" applyProtection="1">
      <alignment horizontal="left" vertical="center"/>
    </xf>
    <xf numFmtId="168" fontId="8" fillId="2" borderId="7" xfId="2" applyNumberFormat="1" applyFont="1" applyFill="1" applyBorder="1" applyAlignment="1" applyProtection="1">
      <alignment horizontal="left" vertical="center"/>
    </xf>
    <xf numFmtId="0" fontId="25" fillId="0" borderId="0" xfId="0" applyFont="1" applyAlignment="1" applyProtection="1">
      <alignment vertical="center"/>
    </xf>
    <xf numFmtId="3" fontId="20" fillId="0" borderId="1" xfId="3" applyFont="1" applyFill="1" applyBorder="1" applyAlignment="1" applyProtection="1"/>
    <xf numFmtId="3" fontId="20" fillId="0" borderId="2" xfId="3" applyFont="1" applyFill="1" applyBorder="1" applyAlignment="1" applyProtection="1">
      <alignment vertical="center"/>
    </xf>
    <xf numFmtId="3" fontId="20" fillId="0" borderId="2" xfId="3" applyFont="1" applyFill="1" applyBorder="1" applyAlignment="1" applyProtection="1">
      <alignment horizontal="right"/>
    </xf>
    <xf numFmtId="3" fontId="27" fillId="0" borderId="3" xfId="3" applyFont="1" applyFill="1" applyBorder="1" applyAlignment="1" applyProtection="1">
      <alignment horizontal="left" vertical="center"/>
    </xf>
    <xf numFmtId="3" fontId="27" fillId="0" borderId="2" xfId="3" applyFont="1" applyFill="1" applyBorder="1" applyAlignment="1" applyProtection="1">
      <alignment horizontal="left" vertical="center"/>
    </xf>
    <xf numFmtId="3" fontId="20" fillId="0" borderId="1" xfId="3" applyFont="1" applyFill="1" applyBorder="1" applyAlignment="1" applyProtection="1">
      <alignment horizontal="left" vertical="center"/>
    </xf>
    <xf numFmtId="3" fontId="6" fillId="0" borderId="2" xfId="3" applyFont="1" applyFill="1" applyBorder="1" applyAlignment="1" applyProtection="1">
      <alignment vertical="center"/>
    </xf>
    <xf numFmtId="0" fontId="8" fillId="0" borderId="2" xfId="3" applyNumberFormat="1" applyFont="1" applyFill="1" applyBorder="1" applyAlignment="1" applyProtection="1">
      <alignment vertical="center"/>
    </xf>
    <xf numFmtId="0" fontId="3" fillId="0" borderId="2" xfId="3" applyNumberFormat="1" applyFont="1" applyFill="1" applyBorder="1" applyAlignment="1" applyProtection="1">
      <alignment vertical="center"/>
    </xf>
    <xf numFmtId="0" fontId="3" fillId="0" borderId="3" xfId="3" applyNumberFormat="1" applyFont="1" applyFill="1" applyBorder="1" applyAlignment="1" applyProtection="1">
      <alignment vertical="center"/>
    </xf>
    <xf numFmtId="0" fontId="3" fillId="0" borderId="1" xfId="3" applyNumberFormat="1" applyFont="1" applyFill="1" applyBorder="1" applyAlignment="1" applyProtection="1">
      <alignment vertical="center"/>
    </xf>
    <xf numFmtId="3" fontId="20" fillId="0" borderId="2" xfId="3" applyFont="1" applyFill="1" applyBorder="1" applyAlignment="1" applyProtection="1">
      <alignment horizontal="left" vertical="center"/>
    </xf>
    <xf numFmtId="0" fontId="9" fillId="0" borderId="3" xfId="0" applyFont="1" applyBorder="1" applyAlignment="1" applyProtection="1">
      <alignment vertical="center"/>
    </xf>
    <xf numFmtId="0" fontId="10" fillId="0" borderId="1" xfId="0" applyFont="1" applyBorder="1" applyAlignment="1" applyProtection="1">
      <alignment vertical="center"/>
    </xf>
    <xf numFmtId="3" fontId="20" fillId="0" borderId="4" xfId="3" applyFont="1" applyFill="1" applyBorder="1" applyAlignment="1" applyProtection="1"/>
    <xf numFmtId="3" fontId="8" fillId="0" borderId="0" xfId="3" applyFont="1" applyFill="1" applyBorder="1" applyAlignment="1" applyProtection="1">
      <alignment vertical="center"/>
    </xf>
    <xf numFmtId="3" fontId="8" fillId="0" borderId="0" xfId="3" applyFont="1" applyFill="1" applyBorder="1" applyAlignment="1" applyProtection="1">
      <alignment horizontal="right"/>
    </xf>
    <xf numFmtId="0" fontId="8" fillId="0" borderId="4" xfId="3" applyNumberFormat="1" applyFont="1" applyFill="1" applyBorder="1" applyAlignment="1" applyProtection="1">
      <alignment vertical="center"/>
    </xf>
    <xf numFmtId="0" fontId="8" fillId="0" borderId="0" xfId="3" applyNumberFormat="1" applyFont="1" applyFill="1" applyBorder="1" applyAlignment="1" applyProtection="1">
      <alignment vertical="center"/>
    </xf>
    <xf numFmtId="0" fontId="3" fillId="0" borderId="0" xfId="3" applyNumberFormat="1" applyFont="1" applyFill="1" applyBorder="1" applyAlignment="1" applyProtection="1">
      <alignment vertical="center"/>
    </xf>
    <xf numFmtId="0" fontId="3" fillId="0" borderId="5" xfId="3" applyNumberFormat="1" applyFont="1" applyFill="1" applyBorder="1" applyAlignment="1" applyProtection="1">
      <alignment vertical="center"/>
    </xf>
    <xf numFmtId="0" fontId="3" fillId="0" borderId="4" xfId="3" applyNumberFormat="1" applyFont="1" applyFill="1" applyBorder="1" applyAlignment="1" applyProtection="1">
      <alignment vertical="center"/>
    </xf>
    <xf numFmtId="172" fontId="8" fillId="0" borderId="0" xfId="3" applyNumberFormat="1" applyFont="1" applyFill="1" applyBorder="1" applyAlignment="1" applyProtection="1">
      <alignment vertical="center"/>
    </xf>
    <xf numFmtId="3" fontId="8" fillId="0" borderId="4" xfId="3" applyFont="1" applyFill="1" applyBorder="1" applyAlignment="1" applyProtection="1"/>
    <xf numFmtId="3" fontId="8" fillId="0" borderId="0" xfId="3" applyFont="1" applyFill="1" applyBorder="1" applyAlignment="1" applyProtection="1">
      <alignment horizontal="left"/>
    </xf>
    <xf numFmtId="3" fontId="8" fillId="0" borderId="0" xfId="3" applyFont="1" applyFill="1" applyBorder="1" applyAlignment="1" applyProtection="1"/>
    <xf numFmtId="3" fontId="7" fillId="0" borderId="0" xfId="3" applyFont="1" applyFill="1" applyBorder="1" applyAlignment="1" applyProtection="1">
      <alignment horizontal="center" vertical="center" wrapText="1"/>
    </xf>
    <xf numFmtId="0" fontId="15" fillId="0" borderId="0" xfId="0" applyFont="1" applyBorder="1" applyAlignment="1" applyProtection="1">
      <alignment vertical="center"/>
    </xf>
    <xf numFmtId="3" fontId="19" fillId="0" borderId="5" xfId="3" applyFont="1" applyFill="1" applyBorder="1" applyAlignment="1" applyProtection="1">
      <alignment horizontal="center" vertical="center" wrapText="1"/>
    </xf>
    <xf numFmtId="3" fontId="19" fillId="0" borderId="0" xfId="3" applyFont="1" applyFill="1" applyBorder="1" applyAlignment="1" applyProtection="1">
      <alignment horizontal="center" vertical="center" wrapText="1"/>
    </xf>
    <xf numFmtId="3" fontId="19" fillId="0" borderId="4" xfId="3"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xf>
    <xf numFmtId="0" fontId="8" fillId="0" borderId="0" xfId="0" applyFont="1" applyBorder="1" applyAlignment="1" applyProtection="1">
      <alignment vertical="center" wrapText="1"/>
    </xf>
    <xf numFmtId="172" fontId="8" fillId="0" borderId="0" xfId="1" applyNumberFormat="1" applyFont="1" applyFill="1" applyBorder="1" applyAlignment="1" applyProtection="1">
      <alignment horizontal="center" vertical="center" wrapText="1"/>
    </xf>
    <xf numFmtId="172" fontId="8" fillId="0" borderId="5" xfId="1" applyNumberFormat="1" applyFont="1" applyFill="1" applyBorder="1" applyAlignment="1" applyProtection="1">
      <alignment horizontal="center" vertical="center"/>
    </xf>
    <xf numFmtId="172" fontId="8" fillId="0" borderId="4" xfId="1" applyNumberFormat="1" applyFont="1" applyFill="1" applyBorder="1" applyAlignment="1" applyProtection="1">
      <alignment horizontal="center" vertical="center" wrapText="1"/>
    </xf>
    <xf numFmtId="3" fontId="11" fillId="0" borderId="5" xfId="3" applyFont="1" applyFill="1" applyBorder="1" applyAlignment="1" applyProtection="1">
      <alignment horizontal="left" vertical="center"/>
    </xf>
    <xf numFmtId="0" fontId="19" fillId="0" borderId="0" xfId="3" applyNumberFormat="1" applyFont="1" applyFill="1" applyBorder="1" applyAlignment="1" applyProtection="1">
      <alignment horizontal="left" vertical="center"/>
    </xf>
    <xf numFmtId="3" fontId="3" fillId="0" borderId="0" xfId="3" applyFont="1" applyFill="1" applyBorder="1" applyAlignment="1" applyProtection="1">
      <alignment horizontal="center" vertical="center"/>
    </xf>
    <xf numFmtId="172" fontId="3" fillId="0" borderId="5" xfId="1" applyNumberFormat="1" applyFont="1" applyFill="1" applyBorder="1" applyAlignment="1" applyProtection="1">
      <alignment horizontal="center" vertical="center"/>
    </xf>
    <xf numFmtId="9" fontId="3" fillId="0" borderId="0" xfId="6" applyFont="1" applyFill="1" applyBorder="1" applyAlignment="1" applyProtection="1">
      <alignment horizontal="center" vertical="center"/>
    </xf>
    <xf numFmtId="172" fontId="3" fillId="0" borderId="4" xfId="1" applyNumberFormat="1" applyFont="1" applyFill="1" applyBorder="1" applyAlignment="1" applyProtection="1">
      <alignment horizontal="center" vertical="center"/>
    </xf>
    <xf numFmtId="0" fontId="3" fillId="0" borderId="0" xfId="0" applyFont="1" applyBorder="1" applyAlignment="1" applyProtection="1">
      <alignment vertical="center"/>
    </xf>
    <xf numFmtId="0" fontId="3" fillId="0" borderId="4" xfId="3" applyNumberFormat="1" applyFont="1" applyFill="1" applyBorder="1" applyAlignment="1" applyProtection="1">
      <alignment horizontal="left" vertical="center"/>
    </xf>
    <xf numFmtId="166" fontId="10" fillId="0" borderId="0" xfId="0" applyNumberFormat="1" applyFont="1" applyBorder="1" applyAlignment="1" applyProtection="1">
      <alignment vertical="center"/>
    </xf>
    <xf numFmtId="166" fontId="10" fillId="0" borderId="5" xfId="0" applyNumberFormat="1" applyFont="1" applyBorder="1" applyAlignment="1" applyProtection="1">
      <alignment vertical="center"/>
    </xf>
    <xf numFmtId="0" fontId="3" fillId="0" borderId="0" xfId="3" applyNumberFormat="1" applyFont="1" applyFill="1" applyBorder="1" applyAlignment="1" applyProtection="1">
      <alignment horizontal="left" vertical="center"/>
    </xf>
    <xf numFmtId="0" fontId="0" fillId="0" borderId="0" xfId="0" applyBorder="1" applyProtection="1"/>
    <xf numFmtId="3" fontId="3" fillId="0" borderId="4" xfId="3" applyFont="1" applyFill="1" applyBorder="1" applyAlignment="1" applyProtection="1">
      <alignment horizontal="center" vertical="center"/>
    </xf>
    <xf numFmtId="172" fontId="3" fillId="0" borderId="0" xfId="1" applyNumberFormat="1" applyFont="1" applyFill="1" applyBorder="1" applyAlignment="1" applyProtection="1">
      <alignment horizontal="center" vertical="center"/>
    </xf>
    <xf numFmtId="0" fontId="25" fillId="0" borderId="5" xfId="0" applyFont="1" applyBorder="1" applyAlignment="1" applyProtection="1">
      <alignment vertical="center"/>
    </xf>
    <xf numFmtId="0" fontId="8" fillId="0" borderId="0" xfId="3" applyNumberFormat="1" applyFont="1" applyFill="1" applyBorder="1" applyAlignment="1" applyProtection="1">
      <alignment horizontal="left" vertical="center"/>
    </xf>
    <xf numFmtId="3" fontId="3" fillId="0" borderId="5" xfId="3" applyFont="1" applyFill="1" applyBorder="1" applyAlignment="1" applyProtection="1">
      <alignment horizontal="center" vertical="center"/>
    </xf>
    <xf numFmtId="172" fontId="3" fillId="0" borderId="0" xfId="3" applyNumberFormat="1" applyFont="1" applyFill="1" applyBorder="1" applyAlignment="1" applyProtection="1">
      <alignment horizontal="center" vertical="center"/>
    </xf>
    <xf numFmtId="9" fontId="3" fillId="0" borderId="4" xfId="6" applyFont="1" applyFill="1" applyBorder="1" applyAlignment="1" applyProtection="1">
      <alignment horizontal="center" vertical="center"/>
    </xf>
    <xf numFmtId="0" fontId="3" fillId="0" borderId="0" xfId="3" applyNumberFormat="1" applyFont="1" applyFill="1" applyBorder="1" applyAlignment="1" applyProtection="1">
      <alignment horizontal="center" vertical="center"/>
    </xf>
    <xf numFmtId="172" fontId="3" fillId="0" borderId="5" xfId="3" applyNumberFormat="1" applyFont="1" applyFill="1" applyBorder="1" applyAlignment="1" applyProtection="1">
      <alignment horizontal="center" vertical="center"/>
    </xf>
    <xf numFmtId="172" fontId="3" fillId="0" borderId="4" xfId="3" applyNumberFormat="1" applyFont="1" applyFill="1" applyBorder="1" applyAlignment="1" applyProtection="1">
      <alignment horizontal="center" vertical="center"/>
    </xf>
    <xf numFmtId="167" fontId="3" fillId="0" borderId="0" xfId="3" applyNumberFormat="1" applyFont="1" applyFill="1" applyBorder="1" applyAlignment="1" applyProtection="1">
      <alignment horizontal="center" vertical="center"/>
    </xf>
    <xf numFmtId="0" fontId="10" fillId="0" borderId="6" xfId="0" applyFont="1" applyBorder="1" applyAlignment="1" applyProtection="1">
      <alignment vertical="center"/>
    </xf>
    <xf numFmtId="0" fontId="10" fillId="0" borderId="8" xfId="0" applyFont="1" applyBorder="1" applyAlignment="1" applyProtection="1">
      <alignment vertical="center"/>
    </xf>
    <xf numFmtId="0" fontId="3" fillId="0" borderId="6" xfId="3" applyNumberFormat="1" applyFont="1" applyFill="1" applyBorder="1" applyAlignment="1" applyProtection="1">
      <alignment horizontal="center" vertical="center"/>
    </xf>
    <xf numFmtId="166" fontId="10" fillId="0" borderId="7" xfId="0" applyNumberFormat="1" applyFont="1" applyBorder="1" applyAlignment="1" applyProtection="1">
      <alignment vertical="center"/>
    </xf>
    <xf numFmtId="166" fontId="10" fillId="0" borderId="8" xfId="0" applyNumberFormat="1" applyFont="1" applyBorder="1" applyAlignment="1" applyProtection="1">
      <alignment vertical="center"/>
    </xf>
    <xf numFmtId="166" fontId="10" fillId="0" borderId="0" xfId="0" applyNumberFormat="1" applyFont="1" applyAlignment="1" applyProtection="1">
      <alignment vertical="center"/>
    </xf>
    <xf numFmtId="10" fontId="10" fillId="0" borderId="5" xfId="0" applyNumberFormat="1" applyFont="1" applyBorder="1" applyAlignment="1" applyProtection="1">
      <alignment vertical="center"/>
    </xf>
    <xf numFmtId="10" fontId="25" fillId="0" borderId="5" xfId="0" applyNumberFormat="1" applyFont="1" applyBorder="1" applyAlignment="1" applyProtection="1">
      <alignment vertical="center"/>
    </xf>
    <xf numFmtId="0" fontId="10" fillId="0" borderId="22" xfId="0" applyNumberFormat="1" applyFont="1" applyBorder="1" applyAlignment="1" applyProtection="1">
      <alignment vertical="center"/>
    </xf>
    <xf numFmtId="0" fontId="10" fillId="0" borderId="9" xfId="0" applyNumberFormat="1" applyFont="1" applyBorder="1" applyAlignment="1" applyProtection="1">
      <alignment vertical="center"/>
    </xf>
    <xf numFmtId="0" fontId="8" fillId="0" borderId="2" xfId="3" applyNumberFormat="1" applyFont="1" applyFill="1" applyBorder="1" applyAlignment="1" applyProtection="1">
      <alignment horizontal="left" vertical="center"/>
    </xf>
    <xf numFmtId="3" fontId="3" fillId="0" borderId="2" xfId="3" applyFont="1" applyFill="1" applyBorder="1" applyAlignment="1" applyProtection="1">
      <alignment horizontal="center" vertical="center"/>
    </xf>
    <xf numFmtId="172" fontId="3" fillId="0" borderId="3" xfId="3" applyNumberFormat="1" applyFont="1" applyFill="1" applyBorder="1" applyAlignment="1" applyProtection="1">
      <alignment horizontal="center" vertical="center"/>
    </xf>
    <xf numFmtId="172" fontId="3" fillId="0" borderId="2" xfId="3" applyNumberFormat="1" applyFont="1" applyFill="1" applyBorder="1" applyAlignment="1" applyProtection="1">
      <alignment horizontal="center" vertical="center"/>
    </xf>
    <xf numFmtId="172" fontId="3" fillId="0" borderId="1" xfId="3" applyNumberFormat="1" applyFont="1" applyFill="1" applyBorder="1" applyAlignment="1" applyProtection="1">
      <alignment horizontal="center" vertical="center"/>
    </xf>
    <xf numFmtId="172" fontId="3" fillId="0" borderId="2" xfId="1" applyNumberFormat="1" applyFont="1" applyFill="1" applyBorder="1" applyAlignment="1" applyProtection="1">
      <alignment horizontal="center" vertical="center"/>
    </xf>
    <xf numFmtId="172" fontId="8" fillId="0" borderId="2" xfId="1" applyNumberFormat="1" applyFont="1" applyFill="1" applyBorder="1" applyAlignment="1" applyProtection="1">
      <alignment horizontal="center" vertical="center"/>
    </xf>
    <xf numFmtId="0" fontId="7" fillId="0" borderId="0" xfId="0" applyFont="1" applyBorder="1" applyAlignment="1" applyProtection="1">
      <alignment vertical="center"/>
    </xf>
    <xf numFmtId="0" fontId="10" fillId="0" borderId="23" xfId="0" applyNumberFormat="1" applyFont="1" applyBorder="1" applyAlignment="1" applyProtection="1">
      <alignment vertical="center"/>
    </xf>
    <xf numFmtId="0" fontId="10" fillId="0" borderId="0" xfId="0" applyNumberFormat="1" applyFont="1" applyAlignment="1" applyProtection="1">
      <alignment vertical="center"/>
    </xf>
    <xf numFmtId="0" fontId="10" fillId="0" borderId="0" xfId="0" applyFont="1" applyBorder="1" applyAlignment="1" applyProtection="1">
      <alignment horizontal="left" vertical="center" indent="1"/>
    </xf>
    <xf numFmtId="172" fontId="8" fillId="0" borderId="0" xfId="0" applyNumberFormat="1" applyFont="1" applyBorder="1" applyAlignment="1" applyProtection="1">
      <alignment vertical="center"/>
    </xf>
    <xf numFmtId="165" fontId="10" fillId="0" borderId="0" xfId="0" applyNumberFormat="1" applyFont="1" applyAlignment="1" applyProtection="1">
      <alignment vertical="center"/>
    </xf>
    <xf numFmtId="172" fontId="25" fillId="0" borderId="5" xfId="3" applyNumberFormat="1" applyFont="1" applyFill="1" applyBorder="1" applyAlignment="1" applyProtection="1">
      <alignment horizontal="center" vertical="center"/>
    </xf>
    <xf numFmtId="172" fontId="25" fillId="0" borderId="0" xfId="3" applyNumberFormat="1" applyFont="1" applyFill="1" applyBorder="1" applyAlignment="1" applyProtection="1">
      <alignment horizontal="center" vertical="center"/>
    </xf>
    <xf numFmtId="9" fontId="25" fillId="0" borderId="0" xfId="0" applyNumberFormat="1" applyFont="1" applyFill="1" applyBorder="1" applyAlignment="1" applyProtection="1">
      <alignment vertical="center"/>
    </xf>
    <xf numFmtId="0" fontId="23" fillId="0" borderId="6" xfId="0" applyFont="1" applyBorder="1" applyAlignment="1" applyProtection="1">
      <alignment vertical="center"/>
    </xf>
    <xf numFmtId="3" fontId="7" fillId="0" borderId="8" xfId="3" applyFont="1" applyFill="1" applyBorder="1" applyAlignment="1" applyProtection="1">
      <alignment horizontal="center" vertical="center" wrapText="1"/>
    </xf>
    <xf numFmtId="3" fontId="7" fillId="0" borderId="7" xfId="3" applyFont="1" applyFill="1" applyBorder="1" applyAlignment="1" applyProtection="1">
      <alignment horizontal="center" vertical="center" wrapText="1"/>
    </xf>
    <xf numFmtId="3" fontId="7" fillId="0" borderId="6" xfId="3" applyFont="1" applyFill="1" applyBorder="1" applyAlignment="1" applyProtection="1">
      <alignment horizontal="center" vertical="center" wrapText="1"/>
    </xf>
    <xf numFmtId="0" fontId="16" fillId="0" borderId="7" xfId="0" applyFont="1" applyBorder="1" applyAlignment="1" applyProtection="1">
      <alignment vertical="center"/>
    </xf>
    <xf numFmtId="172" fontId="3" fillId="0" borderId="8" xfId="1" applyNumberFormat="1" applyFont="1" applyFill="1" applyBorder="1" applyAlignment="1" applyProtection="1">
      <alignment horizontal="center" vertical="center"/>
    </xf>
    <xf numFmtId="0" fontId="23" fillId="0" borderId="0" xfId="0" applyFont="1" applyBorder="1" applyAlignment="1" applyProtection="1">
      <alignment vertical="center"/>
    </xf>
    <xf numFmtId="10" fontId="10" fillId="0" borderId="0" xfId="0" applyNumberFormat="1" applyFont="1" applyAlignment="1" applyProtection="1">
      <alignment vertical="center"/>
    </xf>
    <xf numFmtId="173" fontId="3" fillId="2" borderId="5" xfId="2" applyNumberFormat="1" applyFont="1" applyFill="1" applyBorder="1" applyAlignment="1" applyProtection="1">
      <alignment horizontal="left" vertical="center"/>
    </xf>
    <xf numFmtId="4" fontId="8" fillId="0" borderId="0" xfId="0" applyNumberFormat="1" applyFont="1" applyFill="1" applyBorder="1" applyAlignment="1" applyProtection="1">
      <alignment horizontal="left" vertical="center"/>
    </xf>
    <xf numFmtId="4" fontId="7" fillId="0" borderId="0" xfId="0" applyNumberFormat="1" applyFont="1" applyFill="1" applyBorder="1" applyAlignment="1" applyProtection="1">
      <alignment horizontal="left" vertical="center"/>
    </xf>
    <xf numFmtId="3" fontId="10" fillId="0" borderId="0" xfId="0" applyNumberFormat="1" applyFont="1" applyFill="1" applyBorder="1" applyAlignment="1" applyProtection="1">
      <alignment horizontal="left" vertical="center"/>
    </xf>
    <xf numFmtId="3" fontId="3" fillId="0" borderId="0" xfId="0" applyNumberFormat="1" applyFont="1" applyFill="1" applyBorder="1" applyAlignment="1" applyProtection="1">
      <alignment horizontal="left" vertical="center"/>
    </xf>
    <xf numFmtId="172" fontId="10" fillId="0" borderId="0" xfId="0" applyNumberFormat="1" applyFont="1" applyFill="1" applyBorder="1" applyAlignment="1" applyProtection="1">
      <alignment horizontal="left" vertical="center"/>
    </xf>
    <xf numFmtId="172" fontId="3" fillId="0" borderId="0" xfId="0" applyNumberFormat="1" applyFont="1" applyFill="1" applyBorder="1" applyAlignment="1" applyProtection="1">
      <alignment horizontal="left" vertical="center"/>
    </xf>
    <xf numFmtId="172" fontId="10" fillId="0" borderId="0" xfId="1" applyNumberFormat="1" applyFont="1" applyFill="1" applyBorder="1" applyAlignment="1" applyProtection="1">
      <alignment horizontal="center" vertical="center"/>
    </xf>
    <xf numFmtId="0" fontId="12" fillId="0" borderId="0" xfId="0" applyFont="1" applyAlignment="1" applyProtection="1">
      <alignment vertical="center"/>
    </xf>
    <xf numFmtId="173" fontId="12" fillId="0" borderId="0" xfId="0" applyNumberFormat="1" applyFont="1" applyAlignment="1" applyProtection="1">
      <alignment vertical="center"/>
    </xf>
    <xf numFmtId="0" fontId="15" fillId="0" borderId="0" xfId="0" applyFont="1" applyAlignment="1" applyProtection="1">
      <alignment vertical="center"/>
    </xf>
    <xf numFmtId="4" fontId="25" fillId="0" borderId="0" xfId="0" applyNumberFormat="1" applyFont="1" applyFill="1" applyBorder="1" applyAlignment="1" applyProtection="1">
      <alignment horizontal="center" vertical="center"/>
    </xf>
    <xf numFmtId="4" fontId="25" fillId="0" borderId="0" xfId="0" applyNumberFormat="1" applyFont="1" applyFill="1" applyBorder="1" applyAlignment="1" applyProtection="1">
      <alignment horizontal="left" vertical="center"/>
    </xf>
    <xf numFmtId="0" fontId="32" fillId="0" borderId="0" xfId="0" applyFont="1" applyFill="1" applyBorder="1" applyAlignment="1" applyProtection="1">
      <alignment vertical="center"/>
    </xf>
    <xf numFmtId="0" fontId="33" fillId="0" borderId="0" xfId="0" applyFont="1" applyFill="1" applyBorder="1" applyAlignment="1" applyProtection="1">
      <alignment vertical="center"/>
    </xf>
    <xf numFmtId="3" fontId="34" fillId="0" borderId="0" xfId="3" applyFont="1" applyFill="1" applyBorder="1" applyAlignment="1" applyProtection="1">
      <alignment horizontal="center" vertical="center" wrapText="1"/>
    </xf>
    <xf numFmtId="0" fontId="33" fillId="0" borderId="0" xfId="0" applyFont="1" applyFill="1" applyBorder="1" applyAlignment="1" applyProtection="1">
      <alignment vertical="center" wrapText="1"/>
    </xf>
    <xf numFmtId="3" fontId="33" fillId="0" borderId="0" xfId="3" applyFont="1" applyFill="1" applyBorder="1" applyAlignment="1" applyProtection="1">
      <alignment horizontal="center" vertical="center"/>
    </xf>
    <xf numFmtId="0" fontId="33" fillId="0" borderId="0" xfId="3" applyNumberFormat="1" applyFont="1" applyFill="1" applyBorder="1" applyAlignment="1" applyProtection="1">
      <alignment horizontal="center" vertical="center"/>
    </xf>
    <xf numFmtId="172" fontId="33" fillId="0" borderId="0" xfId="1" applyNumberFormat="1" applyFont="1" applyFill="1" applyBorder="1" applyAlignment="1" applyProtection="1">
      <alignment horizontal="center" vertical="center"/>
    </xf>
    <xf numFmtId="172" fontId="33" fillId="0" borderId="0" xfId="3" applyNumberFormat="1" applyFont="1" applyFill="1" applyBorder="1" applyAlignment="1" applyProtection="1">
      <alignment vertical="center"/>
    </xf>
    <xf numFmtId="169" fontId="33" fillId="0" borderId="0" xfId="3" applyNumberFormat="1" applyFont="1" applyFill="1" applyBorder="1" applyAlignment="1" applyProtection="1">
      <alignment vertical="center"/>
    </xf>
    <xf numFmtId="170" fontId="33" fillId="0" borderId="0" xfId="3" applyNumberFormat="1" applyFont="1" applyFill="1" applyBorder="1" applyAlignment="1" applyProtection="1">
      <alignment vertical="center"/>
    </xf>
    <xf numFmtId="172" fontId="33" fillId="0" borderId="0" xfId="0" applyNumberFormat="1" applyFont="1" applyFill="1" applyBorder="1" applyAlignment="1" applyProtection="1">
      <alignment vertical="center"/>
    </xf>
    <xf numFmtId="170" fontId="33" fillId="0" borderId="0" xfId="0" applyNumberFormat="1" applyFont="1" applyFill="1" applyBorder="1" applyAlignment="1" applyProtection="1">
      <alignment vertical="center"/>
    </xf>
    <xf numFmtId="173" fontId="33" fillId="0" borderId="0" xfId="0" applyNumberFormat="1" applyFont="1" applyFill="1" applyBorder="1" applyAlignment="1" applyProtection="1">
      <alignment vertical="center"/>
    </xf>
    <xf numFmtId="172" fontId="33" fillId="0" borderId="0" xfId="3" applyNumberFormat="1" applyFont="1" applyFill="1" applyBorder="1" applyAlignment="1" applyProtection="1">
      <alignment horizontal="center" vertical="center"/>
    </xf>
    <xf numFmtId="3" fontId="31" fillId="0" borderId="0" xfId="3" applyFont="1" applyFill="1" applyBorder="1" applyAlignment="1" applyProtection="1">
      <alignment vertical="center"/>
    </xf>
    <xf numFmtId="169" fontId="34" fillId="0" borderId="0" xfId="3" applyNumberFormat="1" applyFont="1" applyFill="1" applyBorder="1" applyAlignment="1" applyProtection="1">
      <alignment vertical="center"/>
    </xf>
    <xf numFmtId="0" fontId="32" fillId="0" borderId="0" xfId="0" quotePrefix="1" applyFont="1" applyFill="1" applyBorder="1" applyAlignment="1" applyProtection="1">
      <alignment vertical="center"/>
    </xf>
    <xf numFmtId="0" fontId="32" fillId="0" borderId="0" xfId="0" applyFont="1" applyBorder="1" applyAlignment="1" applyProtection="1">
      <alignment vertical="center"/>
    </xf>
    <xf numFmtId="0" fontId="33" fillId="0" borderId="0" xfId="0" applyFont="1" applyBorder="1" applyAlignment="1" applyProtection="1">
      <alignment vertical="center"/>
    </xf>
    <xf numFmtId="0" fontId="32" fillId="0" borderId="0" xfId="0" applyFont="1" applyAlignment="1" applyProtection="1">
      <alignment vertical="center"/>
    </xf>
    <xf numFmtId="0" fontId="33" fillId="0" borderId="0" xfId="0" applyFont="1" applyAlignment="1" applyProtection="1">
      <alignment vertical="center"/>
    </xf>
    <xf numFmtId="0" fontId="22" fillId="0" borderId="0" xfId="3" applyNumberFormat="1" applyFont="1" applyFill="1" applyBorder="1" applyAlignment="1" applyProtection="1">
      <alignment vertical="center"/>
    </xf>
    <xf numFmtId="0" fontId="25" fillId="0" borderId="5" xfId="3" applyNumberFormat="1" applyFont="1" applyFill="1" applyBorder="1" applyAlignment="1" applyProtection="1">
      <alignment vertical="center"/>
    </xf>
    <xf numFmtId="3" fontId="27" fillId="0" borderId="4" xfId="3" applyFont="1" applyFill="1" applyBorder="1" applyAlignment="1" applyProtection="1">
      <alignment horizontal="left" vertical="center"/>
    </xf>
    <xf numFmtId="0" fontId="22" fillId="0" borderId="0" xfId="3" applyNumberFormat="1" applyFont="1" applyFill="1" applyBorder="1" applyAlignment="1" applyProtection="1">
      <alignment horizontal="left" vertical="center"/>
    </xf>
    <xf numFmtId="9" fontId="10" fillId="0" borderId="5" xfId="0" applyNumberFormat="1" applyFont="1" applyFill="1" applyBorder="1" applyAlignment="1" applyProtection="1">
      <alignment vertical="center"/>
    </xf>
    <xf numFmtId="9" fontId="10" fillId="0" borderId="4" xfId="0" applyNumberFormat="1" applyFont="1" applyFill="1" applyBorder="1" applyAlignment="1" applyProtection="1">
      <alignment vertical="center"/>
    </xf>
    <xf numFmtId="172" fontId="3" fillId="0" borderId="0" xfId="0" applyNumberFormat="1" applyFont="1" applyBorder="1" applyAlignment="1" applyProtection="1">
      <alignment vertical="center"/>
    </xf>
    <xf numFmtId="3" fontId="3" fillId="0" borderId="7" xfId="3" applyFont="1" applyFill="1" applyBorder="1" applyAlignment="1" applyProtection="1">
      <alignment horizontal="center" vertical="center"/>
    </xf>
    <xf numFmtId="0" fontId="10" fillId="0" borderId="7" xfId="0" applyFont="1" applyBorder="1" applyAlignment="1" applyProtection="1">
      <alignment horizontal="left" vertical="center" indent="1"/>
    </xf>
    <xf numFmtId="172" fontId="3" fillId="0" borderId="7" xfId="1" applyNumberFormat="1" applyFont="1" applyFill="1" applyBorder="1" applyAlignment="1" applyProtection="1">
      <alignment horizontal="center" vertical="center"/>
    </xf>
    <xf numFmtId="172" fontId="3" fillId="0" borderId="7" xfId="0" applyNumberFormat="1" applyFont="1" applyBorder="1" applyAlignment="1" applyProtection="1">
      <alignment vertical="center"/>
    </xf>
    <xf numFmtId="169" fontId="3" fillId="4" borderId="18" xfId="3" applyNumberFormat="1" applyFont="1" applyFill="1" applyBorder="1" applyAlignment="1">
      <alignment vertical="center"/>
    </xf>
    <xf numFmtId="169" fontId="3" fillId="4" borderId="20" xfId="3" applyNumberFormat="1" applyFont="1" applyFill="1" applyBorder="1" applyAlignment="1">
      <alignment vertical="center"/>
    </xf>
    <xf numFmtId="0" fontId="3" fillId="2" borderId="0" xfId="2" applyNumberFormat="1" applyFont="1" applyFill="1" applyBorder="1" applyAlignment="1" applyProtection="1">
      <alignment horizontal="left" vertical="center"/>
    </xf>
    <xf numFmtId="172" fontId="3" fillId="3" borderId="0" xfId="1" applyNumberFormat="1" applyFont="1" applyFill="1" applyBorder="1" applyAlignment="1" applyProtection="1">
      <alignment horizontal="center" vertical="center"/>
      <protection locked="0"/>
    </xf>
    <xf numFmtId="9" fontId="10" fillId="3" borderId="4" xfId="0" applyNumberFormat="1" applyFont="1" applyFill="1" applyBorder="1" applyAlignment="1" applyProtection="1">
      <alignment horizontal="center" vertical="center"/>
      <protection locked="0"/>
    </xf>
    <xf numFmtId="9" fontId="10" fillId="3" borderId="6" xfId="0" applyNumberFormat="1" applyFont="1" applyFill="1" applyBorder="1" applyAlignment="1" applyProtection="1">
      <alignment horizontal="center" vertical="center"/>
      <protection locked="0"/>
    </xf>
    <xf numFmtId="172" fontId="3" fillId="7" borderId="0" xfId="1" applyNumberFormat="1" applyFont="1" applyFill="1" applyBorder="1" applyAlignment="1" applyProtection="1">
      <alignment horizontal="center" vertical="center"/>
      <protection locked="0"/>
    </xf>
    <xf numFmtId="9" fontId="10" fillId="7" borderId="5" xfId="0" applyNumberFormat="1" applyFont="1" applyFill="1" applyBorder="1" applyAlignment="1" applyProtection="1">
      <alignment vertical="center"/>
      <protection locked="0"/>
    </xf>
    <xf numFmtId="9" fontId="10" fillId="7" borderId="8" xfId="0" applyNumberFormat="1" applyFont="1" applyFill="1" applyBorder="1" applyAlignment="1" applyProtection="1">
      <alignment vertical="center"/>
      <protection locked="0"/>
    </xf>
    <xf numFmtId="9" fontId="3" fillId="7" borderId="0" xfId="6" applyFont="1" applyFill="1" applyBorder="1" applyAlignment="1" applyProtection="1">
      <alignment horizontal="center" vertical="center"/>
      <protection locked="0"/>
    </xf>
    <xf numFmtId="9" fontId="3" fillId="3" borderId="0" xfId="6" applyFont="1" applyFill="1" applyBorder="1" applyAlignment="1" applyProtection="1">
      <alignment horizontal="center" vertical="center"/>
      <protection locked="0"/>
    </xf>
    <xf numFmtId="9" fontId="3" fillId="3" borderId="4" xfId="6" applyFont="1" applyFill="1" applyBorder="1" applyAlignment="1" applyProtection="1">
      <alignment horizontal="center" vertical="center"/>
      <protection locked="0"/>
    </xf>
    <xf numFmtId="9" fontId="10" fillId="3" borderId="0" xfId="0" applyNumberFormat="1" applyFont="1" applyFill="1" applyBorder="1" applyAlignment="1" applyProtection="1">
      <alignment vertical="center"/>
      <protection locked="0"/>
    </xf>
    <xf numFmtId="9" fontId="10" fillId="7" borderId="0" xfId="0" applyNumberFormat="1" applyFont="1" applyFill="1" applyBorder="1" applyAlignment="1" applyProtection="1">
      <alignment vertical="center"/>
      <protection locked="0"/>
    </xf>
    <xf numFmtId="3" fontId="3" fillId="7" borderId="5" xfId="3" applyFont="1" applyFill="1" applyBorder="1" applyAlignment="1" applyProtection="1">
      <alignment horizontal="center" vertical="center"/>
      <protection locked="0"/>
    </xf>
    <xf numFmtId="172" fontId="8" fillId="3" borderId="0" xfId="3" applyNumberFormat="1" applyFont="1" applyFill="1" applyBorder="1" applyAlignment="1" applyProtection="1">
      <alignment vertical="center"/>
      <protection locked="0"/>
    </xf>
    <xf numFmtId="172" fontId="8" fillId="7" borderId="0" xfId="3" applyNumberFormat="1" applyFont="1" applyFill="1" applyBorder="1" applyAlignment="1" applyProtection="1">
      <alignment vertical="center"/>
      <protection locked="0"/>
    </xf>
    <xf numFmtId="0" fontId="10" fillId="3" borderId="0" xfId="1" applyNumberFormat="1" applyFont="1" applyFill="1" applyBorder="1" applyAlignment="1" applyProtection="1">
      <alignment vertical="center"/>
      <protection locked="0"/>
    </xf>
    <xf numFmtId="172" fontId="10" fillId="3" borderId="0" xfId="1" applyNumberFormat="1" applyFont="1" applyFill="1" applyBorder="1" applyAlignment="1" applyProtection="1">
      <alignment horizontal="right" vertical="center"/>
      <protection locked="0"/>
    </xf>
    <xf numFmtId="171" fontId="10" fillId="3" borderId="0" xfId="0" applyNumberFormat="1" applyFont="1" applyFill="1" applyBorder="1" applyAlignment="1" applyProtection="1">
      <alignment horizontal="right" vertical="center"/>
      <protection locked="0"/>
    </xf>
    <xf numFmtId="0" fontId="10" fillId="3" borderId="0" xfId="1" applyNumberFormat="1" applyFont="1" applyFill="1" applyBorder="1" applyAlignment="1" applyProtection="1">
      <alignment horizontal="right" vertical="center"/>
      <protection locked="0"/>
    </xf>
    <xf numFmtId="0" fontId="10" fillId="7" borderId="0" xfId="1" applyNumberFormat="1" applyFont="1" applyFill="1" applyBorder="1" applyAlignment="1" applyProtection="1">
      <alignment vertical="center"/>
      <protection locked="0"/>
    </xf>
    <xf numFmtId="173" fontId="10" fillId="7" borderId="0" xfId="1" applyNumberFormat="1" applyFont="1" applyFill="1" applyBorder="1" applyAlignment="1" applyProtection="1">
      <alignment vertical="center"/>
      <protection locked="0"/>
    </xf>
    <xf numFmtId="10" fontId="10" fillId="7" borderId="0" xfId="0" applyNumberFormat="1" applyFont="1" applyFill="1" applyBorder="1" applyAlignment="1" applyProtection="1">
      <alignment horizontal="center" vertical="center"/>
      <protection locked="0"/>
    </xf>
    <xf numFmtId="172" fontId="10" fillId="7" borderId="0" xfId="1" applyNumberFormat="1" applyFont="1" applyFill="1" applyBorder="1" applyAlignment="1" applyProtection="1">
      <alignment vertical="center"/>
      <protection locked="0"/>
    </xf>
    <xf numFmtId="0" fontId="10" fillId="7" borderId="0" xfId="0" applyFont="1" applyFill="1" applyAlignment="1" applyProtection="1">
      <alignment vertical="center"/>
      <protection locked="0"/>
    </xf>
    <xf numFmtId="167" fontId="3" fillId="7" borderId="0" xfId="1" applyNumberFormat="1" applyFont="1" applyFill="1" applyBorder="1" applyAlignment="1" applyProtection="1">
      <alignment vertical="center"/>
      <protection locked="0"/>
    </xf>
    <xf numFmtId="171" fontId="10" fillId="7" borderId="0" xfId="0" applyNumberFormat="1" applyFont="1" applyFill="1" applyBorder="1" applyAlignment="1" applyProtection="1">
      <alignment horizontal="center" vertical="center"/>
      <protection locked="0"/>
    </xf>
    <xf numFmtId="167" fontId="10" fillId="7" borderId="0" xfId="1" applyNumberFormat="1" applyFont="1" applyFill="1" applyBorder="1" applyAlignment="1" applyProtection="1">
      <alignment horizontal="right" vertical="center"/>
      <protection locked="0"/>
    </xf>
    <xf numFmtId="173" fontId="10" fillId="3" borderId="0" xfId="1" applyNumberFormat="1" applyFont="1" applyFill="1" applyBorder="1" applyAlignment="1" applyProtection="1">
      <alignment vertical="center"/>
      <protection locked="0"/>
    </xf>
    <xf numFmtId="10" fontId="10" fillId="3" borderId="0" xfId="0" applyNumberFormat="1" applyFont="1" applyFill="1" applyBorder="1" applyAlignment="1" applyProtection="1">
      <alignment horizontal="center" vertical="center"/>
      <protection locked="0"/>
    </xf>
    <xf numFmtId="9" fontId="10" fillId="3" borderId="0" xfId="0" applyNumberFormat="1" applyFont="1" applyFill="1" applyAlignment="1" applyProtection="1">
      <alignment vertical="center"/>
      <protection locked="0"/>
    </xf>
    <xf numFmtId="172" fontId="10" fillId="3" borderId="0" xfId="1" applyNumberFormat="1" applyFont="1" applyFill="1" applyBorder="1" applyAlignment="1" applyProtection="1">
      <alignment vertical="center"/>
      <protection locked="0"/>
    </xf>
    <xf numFmtId="167" fontId="10" fillId="3" borderId="0" xfId="1" applyNumberFormat="1" applyFont="1" applyFill="1" applyBorder="1" applyAlignment="1" applyProtection="1">
      <alignment horizontal="right" vertical="center"/>
      <protection locked="0"/>
    </xf>
    <xf numFmtId="171" fontId="10" fillId="3" borderId="0" xfId="0" applyNumberFormat="1" applyFont="1" applyFill="1" applyBorder="1" applyAlignment="1" applyProtection="1">
      <alignment horizontal="center" vertical="center"/>
      <protection locked="0"/>
    </xf>
    <xf numFmtId="0" fontId="9" fillId="0" borderId="4" xfId="0" applyFont="1" applyFill="1" applyBorder="1" applyAlignment="1" applyProtection="1">
      <alignment vertical="center"/>
    </xf>
    <xf numFmtId="3" fontId="19" fillId="0" borderId="0" xfId="2" applyFont="1" applyFill="1" applyBorder="1" applyAlignment="1" applyProtection="1">
      <alignment vertical="center"/>
    </xf>
    <xf numFmtId="0" fontId="36" fillId="0" borderId="0" xfId="0" applyFont="1" applyAlignment="1">
      <alignment vertical="center"/>
    </xf>
    <xf numFmtId="3" fontId="10" fillId="0" borderId="4" xfId="2" applyFont="1" applyFill="1" applyBorder="1" applyAlignment="1" applyProtection="1">
      <alignment vertical="center"/>
    </xf>
    <xf numFmtId="0" fontId="10" fillId="0" borderId="23" xfId="0" applyFont="1" applyBorder="1" applyAlignment="1" applyProtection="1">
      <alignment horizontal="left" vertical="center" indent="1"/>
    </xf>
    <xf numFmtId="3" fontId="7" fillId="4" borderId="10" xfId="3" applyFont="1" applyFill="1" applyBorder="1" applyAlignment="1">
      <alignment horizontal="center" vertical="center" wrapText="1"/>
    </xf>
    <xf numFmtId="3" fontId="19" fillId="0" borderId="0" xfId="3" applyFont="1" applyFill="1" applyBorder="1" applyAlignment="1" applyProtection="1">
      <alignment horizontal="left" vertical="center" wrapText="1"/>
    </xf>
    <xf numFmtId="3" fontId="8" fillId="0" borderId="0" xfId="3" applyFont="1" applyFill="1" applyBorder="1" applyAlignment="1" applyProtection="1">
      <alignment horizontal="center" vertical="center" wrapText="1"/>
    </xf>
    <xf numFmtId="0" fontId="3" fillId="0" borderId="0" xfId="3" applyNumberFormat="1" applyFont="1" applyFill="1" applyBorder="1" applyAlignment="1" applyProtection="1">
      <alignment horizontal="left" vertical="center" wrapText="1"/>
    </xf>
    <xf numFmtId="0" fontId="3" fillId="0" borderId="7" xfId="3" applyNumberFormat="1" applyFont="1" applyFill="1" applyBorder="1" applyAlignment="1" applyProtection="1">
      <alignment horizontal="left" vertical="center" wrapText="1"/>
    </xf>
    <xf numFmtId="170" fontId="3" fillId="5" borderId="17" xfId="3" applyNumberFormat="1" applyFont="1" applyFill="1" applyBorder="1" applyAlignment="1">
      <alignment vertical="center"/>
    </xf>
    <xf numFmtId="170" fontId="3" fillId="5" borderId="18" xfId="3" applyNumberFormat="1" applyFont="1" applyFill="1" applyBorder="1" applyAlignment="1">
      <alignment vertical="center"/>
    </xf>
    <xf numFmtId="170" fontId="3" fillId="5" borderId="20" xfId="3" applyNumberFormat="1" applyFont="1" applyFill="1" applyBorder="1" applyAlignment="1">
      <alignment vertical="center"/>
    </xf>
    <xf numFmtId="0" fontId="11" fillId="0" borderId="14" xfId="0" applyFont="1" applyBorder="1" applyAlignment="1" applyProtection="1">
      <alignment vertical="center" wrapText="1"/>
      <protection locked="0"/>
    </xf>
    <xf numFmtId="0" fontId="10" fillId="0" borderId="3" xfId="0" applyFont="1" applyBorder="1" applyAlignment="1" applyProtection="1">
      <alignment vertical="center"/>
      <protection locked="0"/>
    </xf>
    <xf numFmtId="0" fontId="9" fillId="0" borderId="15" xfId="0" applyFont="1" applyBorder="1" applyAlignment="1" applyProtection="1">
      <alignment vertical="center" wrapText="1"/>
      <protection locked="0"/>
    </xf>
    <xf numFmtId="0" fontId="9" fillId="0" borderId="5" xfId="0" applyFont="1" applyBorder="1" applyAlignment="1" applyProtection="1">
      <alignment vertical="center"/>
      <protection locked="0"/>
    </xf>
    <xf numFmtId="0" fontId="9" fillId="0" borderId="16" xfId="0" applyFont="1" applyBorder="1" applyAlignment="1" applyProtection="1">
      <alignment vertical="center" wrapText="1"/>
      <protection locked="0"/>
    </xf>
    <xf numFmtId="0" fontId="9" fillId="0" borderId="8" xfId="0" applyFont="1" applyBorder="1" applyAlignment="1" applyProtection="1">
      <alignment vertical="center"/>
      <protection locked="0"/>
    </xf>
    <xf numFmtId="0" fontId="9" fillId="0" borderId="7" xfId="0" applyFont="1" applyBorder="1" applyAlignment="1" applyProtection="1">
      <alignment vertical="center" wrapText="1"/>
      <protection locked="0"/>
    </xf>
    <xf numFmtId="0" fontId="9" fillId="0" borderId="0" xfId="0" applyFont="1" applyAlignment="1" applyProtection="1">
      <alignment vertical="center"/>
      <protection locked="0"/>
    </xf>
    <xf numFmtId="0" fontId="9" fillId="0" borderId="14"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3" fillId="0" borderId="15" xfId="0" applyFont="1" applyBorder="1" applyAlignment="1" applyProtection="1">
      <alignment vertical="center"/>
      <protection locked="0"/>
    </xf>
    <xf numFmtId="0" fontId="10" fillId="0" borderId="15" xfId="0" applyFont="1" applyBorder="1" applyAlignment="1" applyProtection="1">
      <alignment vertical="center" wrapText="1"/>
      <protection locked="0"/>
    </xf>
    <xf numFmtId="0" fontId="10" fillId="0" borderId="5" xfId="0" applyFont="1" applyBorder="1" applyAlignment="1" applyProtection="1">
      <alignment vertical="center"/>
      <protection locked="0"/>
    </xf>
    <xf numFmtId="0" fontId="9" fillId="0" borderId="5" xfId="0" applyFont="1" applyFill="1" applyBorder="1" applyAlignment="1" applyProtection="1">
      <alignment vertical="center"/>
      <protection locked="0"/>
    </xf>
    <xf numFmtId="0" fontId="10" fillId="0" borderId="15" xfId="0" applyFont="1" applyBorder="1" applyAlignment="1" applyProtection="1">
      <alignment vertical="center"/>
      <protection locked="0"/>
    </xf>
    <xf numFmtId="0" fontId="10" fillId="0" borderId="5" xfId="0" applyFont="1" applyFill="1" applyBorder="1" applyAlignment="1" applyProtection="1">
      <alignment vertical="center"/>
      <protection locked="0"/>
    </xf>
    <xf numFmtId="0" fontId="28" fillId="0" borderId="15" xfId="0" applyFont="1" applyBorder="1" applyAlignment="1" applyProtection="1">
      <alignment vertical="center" wrapText="1"/>
      <protection locked="0"/>
    </xf>
    <xf numFmtId="0" fontId="25" fillId="0" borderId="15"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15"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171" fontId="10" fillId="0" borderId="8" xfId="0" applyNumberFormat="1" applyFont="1" applyFill="1" applyBorder="1" applyAlignment="1" applyProtection="1">
      <alignment horizontal="center" vertical="center"/>
      <protection locked="0"/>
    </xf>
    <xf numFmtId="0" fontId="9" fillId="0" borderId="0" xfId="0" applyFont="1" applyBorder="1" applyAlignment="1" applyProtection="1">
      <alignment vertical="center" wrapText="1"/>
      <protection locked="0"/>
    </xf>
    <xf numFmtId="171" fontId="10" fillId="0" borderId="0" xfId="0" applyNumberFormat="1" applyFont="1" applyFill="1" applyBorder="1" applyAlignment="1" applyProtection="1">
      <alignment horizontal="center" vertical="center"/>
      <protection locked="0"/>
    </xf>
    <xf numFmtId="168" fontId="8" fillId="0" borderId="0" xfId="2" applyNumberFormat="1" applyFont="1" applyFill="1" applyBorder="1" applyAlignment="1" applyProtection="1">
      <alignment horizontal="left" vertical="center" wrapText="1"/>
      <protection locked="0"/>
    </xf>
    <xf numFmtId="168" fontId="3" fillId="0" borderId="0" xfId="2" applyNumberFormat="1" applyFont="1" applyFill="1" applyBorder="1" applyAlignment="1" applyProtection="1">
      <alignment horizontal="left" vertical="center"/>
      <protection locked="0"/>
    </xf>
    <xf numFmtId="0" fontId="9" fillId="0" borderId="2"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16" fillId="0" borderId="0" xfId="0" applyFont="1" applyFill="1" applyAlignment="1" applyProtection="1">
      <alignment vertical="center" wrapText="1"/>
      <protection locked="0"/>
    </xf>
    <xf numFmtId="0" fontId="16" fillId="0" borderId="0" xfId="0" applyFont="1" applyAlignment="1" applyProtection="1">
      <alignment vertical="center" wrapText="1"/>
      <protection locked="0"/>
    </xf>
    <xf numFmtId="0" fontId="10" fillId="0" borderId="15" xfId="0" applyFont="1" applyBorder="1" applyAlignment="1" applyProtection="1">
      <alignment vertical="top" wrapText="1"/>
      <protection locked="0"/>
    </xf>
    <xf numFmtId="0" fontId="10" fillId="0" borderId="5" xfId="0" applyFont="1" applyBorder="1" applyAlignment="1" applyProtection="1">
      <alignment vertical="top" wrapText="1"/>
      <protection locked="0"/>
    </xf>
    <xf numFmtId="0" fontId="16" fillId="0" borderId="0" xfId="0" applyFont="1" applyBorder="1" applyAlignment="1" applyProtection="1">
      <alignment vertical="center" wrapText="1"/>
      <protection locked="0"/>
    </xf>
    <xf numFmtId="9" fontId="3" fillId="3" borderId="4" xfId="6" applyFont="1" applyFill="1" applyBorder="1" applyAlignment="1" applyProtection="1">
      <alignment horizontal="center" vertical="center"/>
      <protection locked="0"/>
    </xf>
    <xf numFmtId="9" fontId="3" fillId="3" borderId="4" xfId="6" applyFont="1" applyFill="1" applyBorder="1" applyAlignment="1" applyProtection="1">
      <alignment horizontal="center" vertical="center"/>
      <protection locked="0"/>
    </xf>
    <xf numFmtId="0" fontId="9" fillId="0" borderId="7" xfId="0" applyFont="1" applyBorder="1" applyAlignment="1" applyProtection="1">
      <alignment vertical="center" wrapText="1"/>
    </xf>
    <xf numFmtId="0" fontId="9" fillId="0" borderId="8" xfId="0" applyFont="1" applyBorder="1" applyAlignment="1" applyProtection="1">
      <alignment vertical="center"/>
    </xf>
    <xf numFmtId="3" fontId="8" fillId="0" borderId="5" xfId="3" applyFont="1" applyFill="1" applyBorder="1" applyAlignment="1" applyProtection="1">
      <alignment horizontal="left"/>
    </xf>
    <xf numFmtId="4" fontId="3" fillId="0" borderId="4" xfId="0" quotePrefix="1" applyNumberFormat="1" applyFont="1" applyFill="1" applyBorder="1" applyAlignment="1" applyProtection="1">
      <alignment horizontal="left" vertical="center" wrapText="1"/>
    </xf>
    <xf numFmtId="4" fontId="3" fillId="0" borderId="0" xfId="0" quotePrefix="1" applyNumberFormat="1" applyFont="1" applyFill="1" applyBorder="1" applyAlignment="1" applyProtection="1">
      <alignment horizontal="left" vertical="center" wrapText="1"/>
    </xf>
    <xf numFmtId="0" fontId="24" fillId="0" borderId="0" xfId="0" applyFont="1" applyBorder="1" applyAlignment="1" applyProtection="1">
      <alignment horizontal="right" vertical="center"/>
    </xf>
    <xf numFmtId="0" fontId="3" fillId="0" borderId="1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5" xfId="0" applyFont="1" applyFill="1" applyBorder="1" applyAlignment="1" applyProtection="1">
      <alignment horizontal="left" wrapText="1"/>
      <protection locked="0"/>
    </xf>
    <xf numFmtId="0" fontId="3" fillId="0" borderId="5" xfId="0" applyFont="1" applyFill="1" applyBorder="1" applyAlignment="1" applyProtection="1">
      <alignment horizontal="left" wrapText="1"/>
      <protection locked="0"/>
    </xf>
    <xf numFmtId="0" fontId="10" fillId="0" borderId="0" xfId="0" applyFont="1" applyBorder="1" applyAlignment="1" applyProtection="1">
      <alignment horizontal="left" vertical="center" wrapText="1" indent="1"/>
    </xf>
    <xf numFmtId="0" fontId="10" fillId="0" borderId="0" xfId="0" applyFont="1" applyBorder="1" applyAlignment="1" applyProtection="1">
      <alignment horizontal="left" vertical="top" wrapText="1" indent="1"/>
    </xf>
    <xf numFmtId="0" fontId="3" fillId="0" borderId="15"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4" fontId="10" fillId="0" borderId="4" xfId="0" quotePrefix="1" applyNumberFormat="1" applyFont="1" applyFill="1" applyBorder="1" applyAlignment="1" applyProtection="1">
      <alignment horizontal="left" vertical="top" wrapText="1"/>
    </xf>
    <xf numFmtId="4" fontId="10" fillId="0" borderId="0" xfId="0" quotePrefix="1" applyNumberFormat="1" applyFont="1" applyFill="1" applyBorder="1" applyAlignment="1" applyProtection="1">
      <alignment horizontal="left" vertical="top" wrapText="1"/>
    </xf>
    <xf numFmtId="0" fontId="3" fillId="0" borderId="1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10" fillId="0" borderId="15"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168" fontId="3" fillId="0" borderId="15" xfId="2" applyNumberFormat="1" applyFont="1" applyFill="1" applyBorder="1" applyAlignment="1" applyProtection="1">
      <alignment horizontal="left" vertical="center" wrapText="1"/>
      <protection locked="0"/>
    </xf>
    <xf numFmtId="168" fontId="3" fillId="0" borderId="5" xfId="2" applyNumberFormat="1" applyFont="1" applyFill="1" applyBorder="1" applyAlignment="1" applyProtection="1">
      <alignment horizontal="left" vertical="center" wrapText="1"/>
      <protection locked="0"/>
    </xf>
    <xf numFmtId="168" fontId="3" fillId="0" borderId="15" xfId="2" applyNumberFormat="1" applyFont="1" applyFill="1" applyBorder="1" applyAlignment="1" applyProtection="1">
      <alignment horizontal="left" vertical="top" wrapText="1"/>
      <protection locked="0"/>
    </xf>
    <xf numFmtId="168" fontId="3" fillId="0" borderId="5" xfId="2" applyNumberFormat="1" applyFont="1" applyFill="1" applyBorder="1" applyAlignment="1" applyProtection="1">
      <alignment horizontal="left" vertical="top" wrapText="1"/>
      <protection locked="0"/>
    </xf>
    <xf numFmtId="0" fontId="22" fillId="7" borderId="0" xfId="3" applyNumberFormat="1" applyFont="1" applyFill="1" applyBorder="1" applyAlignment="1" applyProtection="1">
      <alignment horizontal="left" vertical="center"/>
    </xf>
    <xf numFmtId="0" fontId="22" fillId="3" borderId="0" xfId="3" applyNumberFormat="1" applyFont="1" applyFill="1" applyBorder="1" applyAlignment="1" applyProtection="1">
      <alignment horizontal="left" vertical="center"/>
    </xf>
    <xf numFmtId="0" fontId="3" fillId="2" borderId="0" xfId="2" applyNumberFormat="1" applyFont="1" applyFill="1" applyBorder="1" applyAlignment="1" applyProtection="1">
      <alignment horizontal="left" vertical="center"/>
    </xf>
    <xf numFmtId="3" fontId="6" fillId="9" borderId="24" xfId="3" applyFont="1" applyFill="1" applyBorder="1" applyAlignment="1">
      <alignment horizontal="center" vertical="center"/>
    </xf>
    <xf numFmtId="3" fontId="6" fillId="9" borderId="25" xfId="3" applyFont="1" applyFill="1" applyBorder="1" applyAlignment="1">
      <alignment horizontal="center" vertical="center"/>
    </xf>
    <xf numFmtId="3" fontId="6" fillId="8" borderId="24" xfId="3" applyFont="1" applyFill="1" applyBorder="1" applyAlignment="1">
      <alignment horizontal="center" vertical="center"/>
    </xf>
    <xf numFmtId="3" fontId="6" fillId="8" borderId="25" xfId="3" applyFont="1" applyFill="1" applyBorder="1" applyAlignment="1">
      <alignment horizontal="center" vertical="center"/>
    </xf>
    <xf numFmtId="3" fontId="6" fillId="0" borderId="0" xfId="3" applyFont="1" applyFill="1" applyBorder="1" applyAlignment="1" applyProtection="1">
      <alignment horizontal="center" vertical="center"/>
    </xf>
    <xf numFmtId="0" fontId="35" fillId="0" borderId="0" xfId="0" applyFont="1" applyAlignment="1" applyProtection="1">
      <alignment horizontal="left" vertical="top" wrapText="1"/>
    </xf>
  </cellXfs>
  <cellStyles count="7">
    <cellStyle name="Hyperlink" xfId="5" builtinId="8"/>
    <cellStyle name="Procent" xfId="6" builtinId="5"/>
    <cellStyle name="Procent 2" xfId="4" xr:uid="{00000000-0005-0000-0000-000002000000}"/>
    <cellStyle name="Standaard" xfId="0" builtinId="0"/>
    <cellStyle name="Standaard 2" xfId="3" xr:uid="{00000000-0005-0000-0000-000004000000}"/>
    <cellStyle name="Standaard_Kostenplan" xfId="2" xr:uid="{00000000-0005-0000-0000-000005000000}"/>
    <cellStyle name="Valuta" xfId="1" builtin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Vergleich kumulativer</a:t>
            </a:r>
            <a:r>
              <a:rPr lang="nl-NL" baseline="0"/>
              <a:t> Barwert</a:t>
            </a:r>
            <a:endParaRPr lang="nl-NL"/>
          </a:p>
        </c:rich>
      </c:tx>
      <c:overlay val="1"/>
    </c:title>
    <c:autoTitleDeleted val="0"/>
    <c:plotArea>
      <c:layout>
        <c:manualLayout>
          <c:layoutTarget val="inner"/>
          <c:xMode val="edge"/>
          <c:yMode val="edge"/>
          <c:x val="0.13012886283004127"/>
          <c:y val="0.14278431322934373"/>
          <c:w val="0.8398457119933137"/>
          <c:h val="0.76360147726253269"/>
        </c:manualLayout>
      </c:layout>
      <c:lineChart>
        <c:grouping val="standard"/>
        <c:varyColors val="0"/>
        <c:ser>
          <c:idx val="0"/>
          <c:order val="0"/>
          <c:tx>
            <c:strRef>
              <c:f>Ergebnis!$C$96</c:f>
              <c:strCache>
                <c:ptCount val="1"/>
                <c:pt idx="0">
                  <c:v>Referenzgebäude (1)</c:v>
                </c:pt>
              </c:strCache>
            </c:strRef>
          </c:tx>
          <c:spPr>
            <a:ln>
              <a:solidFill>
                <a:schemeClr val="accent5">
                  <a:lumMod val="75000"/>
                </a:schemeClr>
              </a:solidFill>
            </a:ln>
          </c:spPr>
          <c:marker>
            <c:symbol val="none"/>
          </c:marker>
          <c:cat>
            <c:numRef>
              <c:f>Ergebnis!$D$52:$D$92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Ergebnis!$O$98:$O$138</c:f>
              <c:numCache>
                <c:formatCode>_ [$€-413]\ * #,##0_ ;_ [$€-413]\ * \-#,##0_ ;_ [$€-413]\ * "-"???_ ;_ @_ </c:formatCode>
                <c:ptCount val="41"/>
                <c:pt idx="0">
                  <c:v>-30652634.039999999</c:v>
                </c:pt>
                <c:pt idx="1">
                  <c:v>-31554043.557884615</c:v>
                </c:pt>
                <c:pt idx="2">
                  <c:v>-32436186.469382394</c:v>
                </c:pt>
                <c:pt idx="3">
                  <c:v>-33299507.532972489</c:v>
                </c:pt>
                <c:pt idx="4">
                  <c:v>-34144440.35264343</c:v>
                </c:pt>
                <c:pt idx="5">
                  <c:v>-34971407.680161998</c:v>
                </c:pt>
                <c:pt idx="6">
                  <c:v>-35780821.708615996</c:v>
                </c:pt>
                <c:pt idx="7">
                  <c:v>-36573084.357494935</c:v>
                </c:pt>
                <c:pt idx="8">
                  <c:v>-37348587.54956416</c:v>
                </c:pt>
                <c:pt idx="9">
                  <c:v>-38107713.479780249</c:v>
                </c:pt>
                <c:pt idx="10">
                  <c:v>-47069813.733277239</c:v>
                </c:pt>
                <c:pt idx="11">
                  <c:v>-47797294.111918077</c:v>
                </c:pt>
                <c:pt idx="12">
                  <c:v>-48509488.021481887</c:v>
                </c:pt>
                <c:pt idx="13">
                  <c:v>-49206741.283911519</c:v>
                </c:pt>
                <c:pt idx="14">
                  <c:v>-49889391.22667814</c:v>
                </c:pt>
                <c:pt idx="15">
                  <c:v>-50557766.908729658</c:v>
                </c:pt>
                <c:pt idx="16">
                  <c:v>-51212189.340011157</c:v>
                </c:pt>
                <c:pt idx="17">
                  <c:v>-51852971.69474978</c:v>
                </c:pt>
                <c:pt idx="18">
                  <c:v>-52480419.518690363</c:v>
                </c:pt>
                <c:pt idx="19">
                  <c:v>-53094830.930462539</c:v>
                </c:pt>
                <c:pt idx="20">
                  <c:v>-71115077.474777877</c:v>
                </c:pt>
                <c:pt idx="21">
                  <c:v>-71704281.682485282</c:v>
                </c:pt>
                <c:pt idx="22">
                  <c:v>-72281301.20050253</c:v>
                </c:pt>
                <c:pt idx="23">
                  <c:v>-72846406.341311976</c:v>
                </c:pt>
                <c:pt idx="24">
                  <c:v>-73399860.915028229</c:v>
                </c:pt>
                <c:pt idx="25">
                  <c:v>-73941922.399046063</c:v>
                </c:pt>
                <c:pt idx="26">
                  <c:v>-74472842.102937222</c:v>
                </c:pt>
                <c:pt idx="27">
                  <c:v>-74992865.328736588</c:v>
                </c:pt>
                <c:pt idx="28">
                  <c:v>-75502231.526753947</c:v>
                </c:pt>
                <c:pt idx="29">
                  <c:v>-76001174.447043478</c:v>
                </c:pt>
                <c:pt idx="30">
                  <c:v>-82063762.473906413</c:v>
                </c:pt>
                <c:pt idx="31">
                  <c:v>-82542538.020065814</c:v>
                </c:pt>
                <c:pt idx="32">
                  <c:v>-83011558.78934662</c:v>
                </c:pt>
                <c:pt idx="33">
                  <c:v>-83471037.163027033</c:v>
                </c:pt>
                <c:pt idx="34">
                  <c:v>-83921180.518687084</c:v>
                </c:pt>
                <c:pt idx="35">
                  <c:v>-84362191.358178899</c:v>
                </c:pt>
                <c:pt idx="36">
                  <c:v>-84794267.432072341</c:v>
                </c:pt>
                <c:pt idx="37">
                  <c:v>-85217601.860678941</c:v>
                </c:pt>
                <c:pt idx="38">
                  <c:v>-85632383.25175409</c:v>
                </c:pt>
                <c:pt idx="39">
                  <c:v>-86038795.814974159</c:v>
                </c:pt>
                <c:pt idx="40">
                  <c:v>-86693867.537016481</c:v>
                </c:pt>
              </c:numCache>
            </c:numRef>
          </c:val>
          <c:smooth val="0"/>
          <c:extLst>
            <c:ext xmlns:c16="http://schemas.microsoft.com/office/drawing/2014/chart" uri="{C3380CC4-5D6E-409C-BE32-E72D297353CC}">
              <c16:uniqueId val="{00000000-5951-4DB0-A287-4683CBAAE33F}"/>
            </c:ext>
          </c:extLst>
        </c:ser>
        <c:ser>
          <c:idx val="1"/>
          <c:order val="1"/>
          <c:tx>
            <c:strRef>
              <c:f>Ergebnis!$C$50</c:f>
              <c:strCache>
                <c:ptCount val="1"/>
                <c:pt idx="0">
                  <c:v>Nachhaltiges Gebäude (2)</c:v>
                </c:pt>
              </c:strCache>
            </c:strRef>
          </c:tx>
          <c:spPr>
            <a:ln>
              <a:solidFill>
                <a:schemeClr val="accent3">
                  <a:lumMod val="75000"/>
                </a:schemeClr>
              </a:solidFill>
            </a:ln>
          </c:spPr>
          <c:marker>
            <c:symbol val="none"/>
          </c:marker>
          <c:cat>
            <c:numRef>
              <c:f>Ergebnis!$D$52:$D$92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Ergebnis!$O$52:$O$92</c:f>
              <c:numCache>
                <c:formatCode>_ [$€-413]\ * #,##0_ ;_ [$€-413]\ * \-#,##0_ ;_ [$€-413]\ * "-"???_ ;_ @_ </c:formatCode>
                <c:ptCount val="41"/>
                <c:pt idx="0">
                  <c:v>-30436100.955750003</c:v>
                </c:pt>
                <c:pt idx="1">
                  <c:v>-31198816.775557697</c:v>
                </c:pt>
                <c:pt idx="2">
                  <c:v>-31938348.929092277</c:v>
                </c:pt>
                <c:pt idx="3">
                  <c:v>-32659784.375798114</c:v>
                </c:pt>
                <c:pt idx="4">
                  <c:v>-33363535.994712878</c:v>
                </c:pt>
                <c:pt idx="5">
                  <c:v>-34050006.337031826</c:v>
                </c:pt>
                <c:pt idx="6">
                  <c:v>-34719587.908554994</c:v>
                </c:pt>
                <c:pt idx="7">
                  <c:v>-35372663.443822138</c:v>
                </c:pt>
                <c:pt idx="8">
                  <c:v>-36009606.172193199</c:v>
                </c:pt>
                <c:pt idx="9">
                  <c:v>-36630780.076123886</c:v>
                </c:pt>
                <c:pt idx="10">
                  <c:v>-43642702.864113905</c:v>
                </c:pt>
                <c:pt idx="11">
                  <c:v>-44233395.325145431</c:v>
                </c:pt>
                <c:pt idx="12">
                  <c:v>-44809357.898378685</c:v>
                </c:pt>
                <c:pt idx="13">
                  <c:v>-45370920.013602957</c:v>
                </c:pt>
                <c:pt idx="14">
                  <c:v>-45918403.036195695</c:v>
                </c:pt>
                <c:pt idx="15">
                  <c:v>-46452120.483378716</c:v>
                </c:pt>
                <c:pt idx="16">
                  <c:v>-46972378.234206319</c:v>
                </c:pt>
                <c:pt idx="17">
                  <c:v>-47479474.733477719</c:v>
                </c:pt>
                <c:pt idx="18">
                  <c:v>-47973701.189760029</c:v>
                </c:pt>
                <c:pt idx="19">
                  <c:v>-48455341.767702125</c:v>
                </c:pt>
                <c:pt idx="20">
                  <c:v>-66125332.972817443</c:v>
                </c:pt>
                <c:pt idx="21">
                  <c:v>-66582627.040884219</c:v>
                </c:pt>
                <c:pt idx="22">
                  <c:v>-67028147.302178033</c:v>
                </c:pt>
                <c:pt idx="23">
                  <c:v>-67462151.560626909</c:v>
                </c:pt>
                <c:pt idx="24">
                  <c:v>-67884891.458093539</c:v>
                </c:pt>
                <c:pt idx="25">
                  <c:v>-68296612.63591285</c:v>
                </c:pt>
                <c:pt idx="26">
                  <c:v>-68697554.891832009</c:v>
                </c:pt>
                <c:pt idx="27">
                  <c:v>-69087952.332492411</c:v>
                </c:pt>
                <c:pt idx="28">
                  <c:v>-69468033.521588385</c:v>
                </c:pt>
                <c:pt idx="29">
                  <c:v>-69838021.623833314</c:v>
                </c:pt>
                <c:pt idx="30">
                  <c:v>-74228571.784054577</c:v>
                </c:pt>
                <c:pt idx="31">
                  <c:v>-74579022.306371018</c:v>
                </c:pt>
                <c:pt idx="32">
                  <c:v>-74920018.221493423</c:v>
                </c:pt>
                <c:pt idx="33">
                  <c:v>-75251762.458367333</c:v>
                </c:pt>
                <c:pt idx="34">
                  <c:v>-75574453.208191156</c:v>
                </c:pt>
                <c:pt idx="35">
                  <c:v>-75888284.045748845</c:v>
                </c:pt>
                <c:pt idx="36">
                  <c:v>-76193444.047356203</c:v>
                </c:pt>
                <c:pt idx="37">
                  <c:v>-76490117.905522197</c:v>
                </c:pt>
                <c:pt idx="38">
                  <c:v>-76778486.040423065</c:v>
                </c:pt>
                <c:pt idx="39">
                  <c:v>-77058724.708284274</c:v>
                </c:pt>
                <c:pt idx="40">
                  <c:v>-77157657.561086714</c:v>
                </c:pt>
              </c:numCache>
            </c:numRef>
          </c:val>
          <c:smooth val="0"/>
          <c:extLst>
            <c:ext xmlns:c16="http://schemas.microsoft.com/office/drawing/2014/chart" uri="{C3380CC4-5D6E-409C-BE32-E72D297353CC}">
              <c16:uniqueId val="{00000001-5951-4DB0-A287-4683CBAAE33F}"/>
            </c:ext>
          </c:extLst>
        </c:ser>
        <c:dLbls>
          <c:showLegendKey val="0"/>
          <c:showVal val="0"/>
          <c:showCatName val="0"/>
          <c:showSerName val="0"/>
          <c:showPercent val="0"/>
          <c:showBubbleSize val="0"/>
        </c:dLbls>
        <c:smooth val="0"/>
        <c:axId val="98932992"/>
        <c:axId val="98942976"/>
      </c:lineChart>
      <c:catAx>
        <c:axId val="98932992"/>
        <c:scaling>
          <c:orientation val="minMax"/>
        </c:scaling>
        <c:delete val="0"/>
        <c:axPos val="b"/>
        <c:numFmt formatCode="#,##0" sourceLinked="1"/>
        <c:majorTickMark val="out"/>
        <c:minorTickMark val="none"/>
        <c:tickLblPos val="nextTo"/>
        <c:txPr>
          <a:bodyPr/>
          <a:lstStyle/>
          <a:p>
            <a:pPr>
              <a:defRPr sz="700" baseline="0"/>
            </a:pPr>
            <a:endParaRPr lang="nl-NL"/>
          </a:p>
        </c:txPr>
        <c:crossAx val="98942976"/>
        <c:crosses val="autoZero"/>
        <c:auto val="1"/>
        <c:lblAlgn val="ctr"/>
        <c:lblOffset val="100"/>
        <c:noMultiLvlLbl val="0"/>
      </c:catAx>
      <c:valAx>
        <c:axId val="98942976"/>
        <c:scaling>
          <c:orientation val="minMax"/>
        </c:scaling>
        <c:delete val="0"/>
        <c:axPos val="l"/>
        <c:majorGridlines/>
        <c:numFmt formatCode="_ [$€-413]\ * #,##0_ ;_ [$€-413]\ * \-#,##0_ ;_ [$€-413]\ * &quot;-&quot;???_ ;_ @_ " sourceLinked="1"/>
        <c:majorTickMark val="out"/>
        <c:minorTickMark val="none"/>
        <c:tickLblPos val="nextTo"/>
        <c:txPr>
          <a:bodyPr/>
          <a:lstStyle/>
          <a:p>
            <a:pPr>
              <a:defRPr sz="800" baseline="0"/>
            </a:pPr>
            <a:endParaRPr lang="nl-NL"/>
          </a:p>
        </c:txPr>
        <c:crossAx val="98932992"/>
        <c:crosses val="autoZero"/>
        <c:crossBetween val="between"/>
      </c:valAx>
    </c:plotArea>
    <c:legend>
      <c:legendPos val="r"/>
      <c:layout>
        <c:manualLayout>
          <c:xMode val="edge"/>
          <c:yMode val="edge"/>
          <c:x val="6.2750529398204941E-2"/>
          <c:y val="0.92592783220579544"/>
          <c:w val="0.82395109486581986"/>
          <c:h val="7.4072167794204585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Übersicht</a:t>
            </a:r>
            <a:r>
              <a:rPr lang="nl-NL" baseline="0"/>
              <a:t> Cashflow </a:t>
            </a:r>
            <a:r>
              <a:rPr lang="nl-NL" sz="1400" b="1" i="0" u="none" strike="noStrike" baseline="0">
                <a:effectLst/>
              </a:rPr>
              <a:t>(incl. Zinsen &amp; Rückzahlung)</a:t>
            </a:r>
            <a:endParaRPr lang="nl-NL"/>
          </a:p>
        </c:rich>
      </c:tx>
      <c:overlay val="1"/>
    </c:title>
    <c:autoTitleDeleted val="0"/>
    <c:plotArea>
      <c:layout>
        <c:manualLayout>
          <c:layoutTarget val="inner"/>
          <c:xMode val="edge"/>
          <c:yMode val="edge"/>
          <c:x val="0.13012886283004127"/>
          <c:y val="0.14278431322934373"/>
          <c:w val="0.8398457119933137"/>
          <c:h val="0.76360147726253269"/>
        </c:manualLayout>
      </c:layout>
      <c:barChart>
        <c:barDir val="col"/>
        <c:grouping val="clustered"/>
        <c:varyColors val="0"/>
        <c:ser>
          <c:idx val="0"/>
          <c:order val="0"/>
          <c:tx>
            <c:strRef>
              <c:f>Ergebnis!$C$96</c:f>
              <c:strCache>
                <c:ptCount val="1"/>
                <c:pt idx="0">
                  <c:v>Referenzgebäude (1)</c:v>
                </c:pt>
              </c:strCache>
            </c:strRef>
          </c:tx>
          <c:spPr>
            <a:solidFill>
              <a:schemeClr val="accent1"/>
            </a:solidFill>
            <a:ln>
              <a:solidFill>
                <a:schemeClr val="accent5">
                  <a:lumMod val="75000"/>
                </a:schemeClr>
              </a:solidFill>
            </a:ln>
          </c:spPr>
          <c:invertIfNegative val="0"/>
          <c:cat>
            <c:numRef>
              <c:f>Ergebnis!$D$52:$D$92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Ergebnis!$AP$52:$AP$92</c:f>
              <c:numCache>
                <c:formatCode>_-"€"\ * #,##0_-;_-"€"\ * #,##0\-;_-"€"\ * "-"??_-;_-@_-</c:formatCode>
                <c:ptCount val="41"/>
                <c:pt idx="0">
                  <c:v>0</c:v>
                </c:pt>
                <c:pt idx="1">
                  <c:v>-2411115.4186</c:v>
                </c:pt>
                <c:pt idx="2">
                  <c:v>-2405104.8130760002</c:v>
                </c:pt>
                <c:pt idx="3">
                  <c:v>-2399427.3448742102</c:v>
                </c:pt>
                <c:pt idx="4">
                  <c:v>-2394089.9717169893</c:v>
                </c:pt>
                <c:pt idx="5">
                  <c:v>-2389099.7992154323</c:v>
                </c:pt>
                <c:pt idx="6">
                  <c:v>-2384464.0840403074</c:v>
                </c:pt>
                <c:pt idx="7">
                  <c:v>-2380190.2371613584</c:v>
                </c:pt>
                <c:pt idx="8">
                  <c:v>-2376285.8271564394</c:v>
                </c:pt>
                <c:pt idx="9">
                  <c:v>-2372758.5835920102</c:v>
                </c:pt>
                <c:pt idx="10">
                  <c:v>-2347502.2813406796</c:v>
                </c:pt>
                <c:pt idx="11">
                  <c:v>-2474312.5797882625</c:v>
                </c:pt>
                <c:pt idx="12">
                  <c:v>-2471964.8750793384</c:v>
                </c:pt>
                <c:pt idx="13">
                  <c:v>-2470026.9351573205</c:v>
                </c:pt>
                <c:pt idx="14">
                  <c:v>-2468507.3478463609</c:v>
                </c:pt>
                <c:pt idx="15">
                  <c:v>-2467414.8838294293</c:v>
                </c:pt>
                <c:pt idx="16">
                  <c:v>-2466758.5005734405</c:v>
                </c:pt>
                <c:pt idx="17">
                  <c:v>-2466547.34633908</c:v>
                </c:pt>
                <c:pt idx="18">
                  <c:v>-2466790.7642771518</c:v>
                </c:pt>
                <c:pt idx="19">
                  <c:v>-2467498.2966133207</c:v>
                </c:pt>
                <c:pt idx="20">
                  <c:v>-2606709.9330784944</c:v>
                </c:pt>
                <c:pt idx="21">
                  <c:v>-2766307.2744995737</c:v>
                </c:pt>
                <c:pt idx="22">
                  <c:v>-2768466.4588142126</c:v>
                </c:pt>
                <c:pt idx="23">
                  <c:v>-2771130.0040755775</c:v>
                </c:pt>
                <c:pt idx="24">
                  <c:v>-2774308.5138852438</c:v>
                </c:pt>
                <c:pt idx="25">
                  <c:v>-2778012.817994725</c:v>
                </c:pt>
                <c:pt idx="26">
                  <c:v>-2782253.9771650368</c:v>
                </c:pt>
                <c:pt idx="27">
                  <c:v>-2787043.2881311933</c:v>
                </c:pt>
                <c:pt idx="28">
                  <c:v>-2792392.2886739238</c:v>
                </c:pt>
                <c:pt idx="29">
                  <c:v>-2798312.7628009124</c:v>
                </c:pt>
                <c:pt idx="30">
                  <c:v>-2731681.9537074426</c:v>
                </c:pt>
                <c:pt idx="31">
                  <c:v>-2931300.1308465088</c:v>
                </c:pt>
                <c:pt idx="32">
                  <c:v>-2939008.2721278952</c:v>
                </c:pt>
                <c:pt idx="33">
                  <c:v>-2947337.5928870784</c:v>
                </c:pt>
                <c:pt idx="34">
                  <c:v>-2956301.1899882127</c:v>
                </c:pt>
                <c:pt idx="35">
                  <c:v>-2965912.4400468371</c:v>
                </c:pt>
                <c:pt idx="36">
                  <c:v>-2976185.0054473495</c:v>
                </c:pt>
                <c:pt idx="37">
                  <c:v>-2987132.8404905191</c:v>
                </c:pt>
                <c:pt idx="38">
                  <c:v>-2998770.1976738716</c:v>
                </c:pt>
                <c:pt idx="39">
                  <c:v>-3011111.6341078198</c:v>
                </c:pt>
                <c:pt idx="40">
                  <c:v>-2866239.8822258031</c:v>
                </c:pt>
              </c:numCache>
            </c:numRef>
          </c:val>
          <c:extLst>
            <c:ext xmlns:c16="http://schemas.microsoft.com/office/drawing/2014/chart" uri="{C3380CC4-5D6E-409C-BE32-E72D297353CC}">
              <c16:uniqueId val="{00000000-5A73-4DBF-A69C-B3E148A48D47}"/>
            </c:ext>
          </c:extLst>
        </c:ser>
        <c:ser>
          <c:idx val="1"/>
          <c:order val="1"/>
          <c:tx>
            <c:strRef>
              <c:f>Ergebnis!$C$50</c:f>
              <c:strCache>
                <c:ptCount val="1"/>
                <c:pt idx="0">
                  <c:v>Nachhaltiges Gebäude (2)</c:v>
                </c:pt>
              </c:strCache>
            </c:strRef>
          </c:tx>
          <c:spPr>
            <a:solidFill>
              <a:schemeClr val="accent3"/>
            </a:solidFill>
            <a:ln>
              <a:solidFill>
                <a:schemeClr val="accent3">
                  <a:lumMod val="75000"/>
                </a:schemeClr>
              </a:solidFill>
            </a:ln>
          </c:spPr>
          <c:invertIfNegative val="0"/>
          <c:cat>
            <c:numRef>
              <c:f>Ergebnis!$D$52:$D$92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Ergebnis!$AO$52:$AO$92</c:f>
              <c:numCache>
                <c:formatCode>_-"€"\ * #,##0_-;_-"€"\ * #,##0\-;_-"€"\ * "-"??_-;_-@_-</c:formatCode>
                <c:ptCount val="41"/>
                <c:pt idx="0">
                  <c:v>0</c:v>
                </c:pt>
                <c:pt idx="1">
                  <c:v>-2202799.00985</c:v>
                </c:pt>
                <c:pt idx="2">
                  <c:v>-2188037.404263</c:v>
                </c:pt>
                <c:pt idx="3">
                  <c:v>-2178261.059073315</c:v>
                </c:pt>
                <c:pt idx="4">
                  <c:v>-2168619.0220012967</c:v>
                </c:pt>
                <c:pt idx="5">
                  <c:v>-2159110.1706438707</c:v>
                </c:pt>
                <c:pt idx="6">
                  <c:v>-2149733.2028827062</c:v>
                </c:pt>
                <c:pt idx="7">
                  <c:v>-2140486.6268494874</c:v>
                </c:pt>
                <c:pt idx="8">
                  <c:v>-2131368.7504293267</c:v>
                </c:pt>
                <c:pt idx="9">
                  <c:v>-2122377.6702825185</c:v>
                </c:pt>
                <c:pt idx="10">
                  <c:v>-2070722.6920625607</c:v>
                </c:pt>
                <c:pt idx="11">
                  <c:v>-2309843.7262886055</c:v>
                </c:pt>
                <c:pt idx="12">
                  <c:v>-2299149.8731774222</c:v>
                </c:pt>
                <c:pt idx="13">
                  <c:v>-2288572.853133908</c:v>
                </c:pt>
                <c:pt idx="14">
                  <c:v>-2278109.5236739777</c:v>
                </c:pt>
                <c:pt idx="15">
                  <c:v>-2267756.4538906785</c:v>
                </c:pt>
                <c:pt idx="16">
                  <c:v>-2257509.9094779533</c:v>
                </c:pt>
                <c:pt idx="17">
                  <c:v>-2247365.8370822063</c:v>
                </c:pt>
                <c:pt idx="18">
                  <c:v>-2237319.8479532385</c:v>
                </c:pt>
                <c:pt idx="19">
                  <c:v>-2227367.2008649027</c:v>
                </c:pt>
                <c:pt idx="20">
                  <c:v>-2139076.883826294</c:v>
                </c:pt>
                <c:pt idx="21">
                  <c:v>-3023183.0349578322</c:v>
                </c:pt>
                <c:pt idx="22">
                  <c:v>-3005783.1422906471</c:v>
                </c:pt>
                <c:pt idx="23">
                  <c:v>-2988453.733090979</c:v>
                </c:pt>
                <c:pt idx="24">
                  <c:v>-2971188.0197722595</c:v>
                </c:pt>
                <c:pt idx="25">
                  <c:v>-2953978.7426415686</c:v>
                </c:pt>
                <c:pt idx="26">
                  <c:v>-2936818.1467701546</c:v>
                </c:pt>
                <c:pt idx="27">
                  <c:v>-2919697.9578484017</c:v>
                </c:pt>
                <c:pt idx="28">
                  <c:v>-2902609.3569827243</c:v>
                </c:pt>
                <c:pt idx="29">
                  <c:v>-2885542.9543900476</c:v>
                </c:pt>
                <c:pt idx="30">
                  <c:v>-2818949.1104588602</c:v>
                </c:pt>
                <c:pt idx="31">
                  <c:v>-3170211.0644558473</c:v>
                </c:pt>
                <c:pt idx="32">
                  <c:v>-3150073.6900786986</c:v>
                </c:pt>
                <c:pt idx="33">
                  <c:v>-3129914.6786180572</c:v>
                </c:pt>
                <c:pt idx="34">
                  <c:v>-3109721.3493416463</c:v>
                </c:pt>
                <c:pt idx="35">
                  <c:v>-3089480.2669258309</c:v>
                </c:pt>
                <c:pt idx="36">
                  <c:v>-3069177.2060310729</c:v>
                </c:pt>
                <c:pt idx="37">
                  <c:v>-3048797.1143487566</c:v>
                </c:pt>
                <c:pt idx="38">
                  <c:v>-3028324.0740558561</c:v>
                </c:pt>
                <c:pt idx="39">
                  <c:v>-3007741.2616113136</c:v>
                </c:pt>
                <c:pt idx="40">
                  <c:v>-1588970.7984127449</c:v>
                </c:pt>
              </c:numCache>
            </c:numRef>
          </c:val>
          <c:extLst>
            <c:ext xmlns:c16="http://schemas.microsoft.com/office/drawing/2014/chart" uri="{C3380CC4-5D6E-409C-BE32-E72D297353CC}">
              <c16:uniqueId val="{00000001-5A73-4DBF-A69C-B3E148A48D47}"/>
            </c:ext>
          </c:extLst>
        </c:ser>
        <c:dLbls>
          <c:showLegendKey val="0"/>
          <c:showVal val="0"/>
          <c:showCatName val="0"/>
          <c:showSerName val="0"/>
          <c:showPercent val="0"/>
          <c:showBubbleSize val="0"/>
        </c:dLbls>
        <c:gapWidth val="150"/>
        <c:axId val="114580480"/>
        <c:axId val="114590464"/>
      </c:barChart>
      <c:catAx>
        <c:axId val="114580480"/>
        <c:scaling>
          <c:orientation val="minMax"/>
        </c:scaling>
        <c:delete val="0"/>
        <c:axPos val="b"/>
        <c:numFmt formatCode="#,##0" sourceLinked="1"/>
        <c:majorTickMark val="out"/>
        <c:minorTickMark val="none"/>
        <c:tickLblPos val="nextTo"/>
        <c:txPr>
          <a:bodyPr/>
          <a:lstStyle/>
          <a:p>
            <a:pPr>
              <a:defRPr sz="700" baseline="0"/>
            </a:pPr>
            <a:endParaRPr lang="nl-NL"/>
          </a:p>
        </c:txPr>
        <c:crossAx val="114590464"/>
        <c:crosses val="autoZero"/>
        <c:auto val="1"/>
        <c:lblAlgn val="ctr"/>
        <c:lblOffset val="100"/>
        <c:noMultiLvlLbl val="0"/>
      </c:catAx>
      <c:valAx>
        <c:axId val="114590464"/>
        <c:scaling>
          <c:orientation val="minMax"/>
        </c:scaling>
        <c:delete val="0"/>
        <c:axPos val="l"/>
        <c:majorGridlines/>
        <c:numFmt formatCode="_-&quot;€&quot;\ * #,##0_-;_-&quot;€&quot;\ * #,##0\-;_-&quot;€&quot;\ * &quot;-&quot;??_-;_-@_-" sourceLinked="1"/>
        <c:majorTickMark val="out"/>
        <c:minorTickMark val="none"/>
        <c:tickLblPos val="nextTo"/>
        <c:txPr>
          <a:bodyPr/>
          <a:lstStyle/>
          <a:p>
            <a:pPr>
              <a:defRPr sz="800" baseline="0"/>
            </a:pPr>
            <a:endParaRPr lang="nl-NL"/>
          </a:p>
        </c:txPr>
        <c:crossAx val="114580480"/>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Unterschiede Cashflow </a:t>
            </a:r>
            <a:r>
              <a:rPr lang="nl-NL" sz="1400"/>
              <a:t>(incl. Zinsen &amp; Rückzahlung)</a:t>
            </a:r>
            <a:endParaRPr lang="nl-NL"/>
          </a:p>
        </c:rich>
      </c:tx>
      <c:overlay val="1"/>
    </c:title>
    <c:autoTitleDeleted val="0"/>
    <c:plotArea>
      <c:layout>
        <c:manualLayout>
          <c:layoutTarget val="inner"/>
          <c:xMode val="edge"/>
          <c:yMode val="edge"/>
          <c:x val="0.13012886283004127"/>
          <c:y val="0.14278431322934373"/>
          <c:w val="0.8398457119933137"/>
          <c:h val="0.73786440652450458"/>
        </c:manualLayout>
      </c:layout>
      <c:barChart>
        <c:barDir val="col"/>
        <c:grouping val="clustered"/>
        <c:varyColors val="0"/>
        <c:ser>
          <c:idx val="1"/>
          <c:order val="0"/>
          <c:tx>
            <c:strRef>
              <c:f>Ergebnis!$AQ$51</c:f>
              <c:strCache>
                <c:ptCount val="1"/>
                <c:pt idx="0">
                  <c:v>Unterschied im Cashflow (Nachhaltiges Gebäude gegenüber Referenzgebäude)</c:v>
                </c:pt>
              </c:strCache>
            </c:strRef>
          </c:tx>
          <c:spPr>
            <a:solidFill>
              <a:schemeClr val="accent2">
                <a:lumMod val="75000"/>
              </a:schemeClr>
            </a:solidFill>
            <a:ln>
              <a:solidFill>
                <a:schemeClr val="accent2">
                  <a:lumMod val="75000"/>
                </a:schemeClr>
              </a:solidFill>
            </a:ln>
          </c:spPr>
          <c:invertIfNegative val="0"/>
          <c:cat>
            <c:numRef>
              <c:f>Ergebnis!$D$52:$D$92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Ergebnis!$AQ$52:$AQ$92</c:f>
              <c:numCache>
                <c:formatCode>_-"€"\ * #,##0_-;_-"€"\ * #,##0\-;_-"€"\ * "-"??_-;_-@_-</c:formatCode>
                <c:ptCount val="41"/>
                <c:pt idx="0">
                  <c:v>0</c:v>
                </c:pt>
                <c:pt idx="1">
                  <c:v>208316.40874999994</c:v>
                </c:pt>
                <c:pt idx="2">
                  <c:v>217067.40881300019</c:v>
                </c:pt>
                <c:pt idx="3">
                  <c:v>221166.28580089519</c:v>
                </c:pt>
                <c:pt idx="4">
                  <c:v>225470.94971569255</c:v>
                </c:pt>
                <c:pt idx="5">
                  <c:v>229989.62857156154</c:v>
                </c:pt>
                <c:pt idx="6">
                  <c:v>234730.88115760125</c:v>
                </c:pt>
                <c:pt idx="7">
                  <c:v>239703.61031187093</c:v>
                </c:pt>
                <c:pt idx="8">
                  <c:v>244917.07672711276</c:v>
                </c:pt>
                <c:pt idx="9">
                  <c:v>250380.91330949171</c:v>
                </c:pt>
                <c:pt idx="10">
                  <c:v>276779.58927811892</c:v>
                </c:pt>
                <c:pt idx="11">
                  <c:v>164468.85349965701</c:v>
                </c:pt>
                <c:pt idx="12">
                  <c:v>172815.00190191623</c:v>
                </c:pt>
                <c:pt idx="13">
                  <c:v>181454.08202341245</c:v>
                </c:pt>
                <c:pt idx="14">
                  <c:v>190397.82417238317</c:v>
                </c:pt>
                <c:pt idx="15">
                  <c:v>199658.42993875081</c:v>
                </c:pt>
                <c:pt idx="16">
                  <c:v>209248.59109548712</c:v>
                </c:pt>
                <c:pt idx="17">
                  <c:v>219181.50925687375</c:v>
                </c:pt>
                <c:pt idx="18">
                  <c:v>229470.91632391326</c:v>
                </c:pt>
                <c:pt idx="19">
                  <c:v>240131.09574841801</c:v>
                </c:pt>
                <c:pt idx="20">
                  <c:v>467633.04925220041</c:v>
                </c:pt>
                <c:pt idx="21">
                  <c:v>-256875.76045825845</c:v>
                </c:pt>
                <c:pt idx="22">
                  <c:v>-237316.68347643455</c:v>
                </c:pt>
                <c:pt idx="23">
                  <c:v>-217323.72901540156</c:v>
                </c:pt>
                <c:pt idx="24">
                  <c:v>-196879.50588701572</c:v>
                </c:pt>
                <c:pt idx="25">
                  <c:v>-175965.92464684369</c:v>
                </c:pt>
                <c:pt idx="26">
                  <c:v>-154564.16960511776</c:v>
                </c:pt>
                <c:pt idx="27">
                  <c:v>-132654.66971720848</c:v>
                </c:pt>
                <c:pt idx="28">
                  <c:v>-110217.06830880046</c:v>
                </c:pt>
                <c:pt idx="29">
                  <c:v>-87230.191589135211</c:v>
                </c:pt>
                <c:pt idx="30">
                  <c:v>-87267.156751417555</c:v>
                </c:pt>
                <c:pt idx="31">
                  <c:v>-238910.93360933848</c:v>
                </c:pt>
                <c:pt idx="32">
                  <c:v>-211065.41795080341</c:v>
                </c:pt>
                <c:pt idx="33">
                  <c:v>-182577.08573097875</c:v>
                </c:pt>
                <c:pt idx="34">
                  <c:v>-153420.15935343364</c:v>
                </c:pt>
                <c:pt idx="35">
                  <c:v>-123567.82687899377</c:v>
                </c:pt>
                <c:pt idx="36">
                  <c:v>-92992.200583723374</c:v>
                </c:pt>
                <c:pt idx="37">
                  <c:v>-61664.273858237546</c:v>
                </c:pt>
                <c:pt idx="38">
                  <c:v>-29553.876381984446</c:v>
                </c:pt>
                <c:pt idx="39">
                  <c:v>3370.3724965061992</c:v>
                </c:pt>
                <c:pt idx="40">
                  <c:v>1277269.0838130582</c:v>
                </c:pt>
              </c:numCache>
            </c:numRef>
          </c:val>
          <c:extLst>
            <c:ext xmlns:c16="http://schemas.microsoft.com/office/drawing/2014/chart" uri="{C3380CC4-5D6E-409C-BE32-E72D297353CC}">
              <c16:uniqueId val="{00000000-C11F-4486-947D-9AC15AFA3686}"/>
            </c:ext>
          </c:extLst>
        </c:ser>
        <c:dLbls>
          <c:showLegendKey val="0"/>
          <c:showVal val="0"/>
          <c:showCatName val="0"/>
          <c:showSerName val="0"/>
          <c:showPercent val="0"/>
          <c:showBubbleSize val="0"/>
        </c:dLbls>
        <c:gapWidth val="150"/>
        <c:axId val="114616192"/>
        <c:axId val="114617728"/>
      </c:barChart>
      <c:catAx>
        <c:axId val="114616192"/>
        <c:scaling>
          <c:orientation val="minMax"/>
        </c:scaling>
        <c:delete val="0"/>
        <c:axPos val="b"/>
        <c:numFmt formatCode="#,##0" sourceLinked="1"/>
        <c:majorTickMark val="out"/>
        <c:minorTickMark val="none"/>
        <c:tickLblPos val="nextTo"/>
        <c:txPr>
          <a:bodyPr/>
          <a:lstStyle/>
          <a:p>
            <a:pPr>
              <a:defRPr sz="700" baseline="0"/>
            </a:pPr>
            <a:endParaRPr lang="nl-NL"/>
          </a:p>
        </c:txPr>
        <c:crossAx val="114617728"/>
        <c:crosses val="autoZero"/>
        <c:auto val="1"/>
        <c:lblAlgn val="ctr"/>
        <c:lblOffset val="100"/>
        <c:noMultiLvlLbl val="0"/>
      </c:catAx>
      <c:valAx>
        <c:axId val="114617728"/>
        <c:scaling>
          <c:orientation val="minMax"/>
        </c:scaling>
        <c:delete val="0"/>
        <c:axPos val="l"/>
        <c:majorGridlines/>
        <c:numFmt formatCode="_-&quot;€&quot;\ * #,##0_-;_-&quot;€&quot;\ * #,##0\-;_-&quot;€&quot;\ * &quot;-&quot;??_-;_-@_-" sourceLinked="1"/>
        <c:majorTickMark val="out"/>
        <c:minorTickMark val="none"/>
        <c:tickLblPos val="nextTo"/>
        <c:txPr>
          <a:bodyPr/>
          <a:lstStyle/>
          <a:p>
            <a:pPr>
              <a:defRPr sz="800" baseline="0"/>
            </a:pPr>
            <a:endParaRPr lang="nl-NL"/>
          </a:p>
        </c:txPr>
        <c:crossAx val="114616192"/>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Unterschied</a:t>
            </a:r>
            <a:r>
              <a:rPr lang="nl-NL" baseline="0"/>
              <a:t> kumulativer Barwert</a:t>
            </a:r>
            <a:endParaRPr lang="nl-NL"/>
          </a:p>
        </c:rich>
      </c:tx>
      <c:overlay val="1"/>
    </c:title>
    <c:autoTitleDeleted val="0"/>
    <c:plotArea>
      <c:layout>
        <c:manualLayout>
          <c:layoutTarget val="inner"/>
          <c:xMode val="edge"/>
          <c:yMode val="edge"/>
          <c:x val="0.13012886283004127"/>
          <c:y val="0.14278431322934373"/>
          <c:w val="0.8398457119933137"/>
          <c:h val="0.73786440652450458"/>
        </c:manualLayout>
      </c:layout>
      <c:barChart>
        <c:barDir val="col"/>
        <c:grouping val="clustered"/>
        <c:varyColors val="0"/>
        <c:ser>
          <c:idx val="1"/>
          <c:order val="0"/>
          <c:tx>
            <c:strRef>
              <c:f>Ergebnis!$AG$51</c:f>
              <c:strCache>
                <c:ptCount val="1"/>
                <c:pt idx="0">
                  <c:v>Unterschied kumulativer Barwert</c:v>
                </c:pt>
              </c:strCache>
            </c:strRef>
          </c:tx>
          <c:spPr>
            <a:solidFill>
              <a:schemeClr val="accent2">
                <a:lumMod val="75000"/>
              </a:schemeClr>
            </a:solidFill>
            <a:ln>
              <a:solidFill>
                <a:schemeClr val="accent2">
                  <a:lumMod val="75000"/>
                </a:schemeClr>
              </a:solidFill>
            </a:ln>
          </c:spPr>
          <c:invertIfNegative val="0"/>
          <c:cat>
            <c:numRef>
              <c:f>Ergebnis!$D$52:$D$92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Ergebnis!$AG$52:$AG$92</c:f>
              <c:numCache>
                <c:formatCode>_ [$€-413]\ * #,##0_ ;_ [$€-413]\ * \-#,##0_ ;_ [$€-413]\ * "-"???_ ;_ @_ </c:formatCode>
                <c:ptCount val="41"/>
                <c:pt idx="0">
                  <c:v>-216533.08424999565</c:v>
                </c:pt>
                <c:pt idx="1">
                  <c:v>-355226.7823269181</c:v>
                </c:pt>
                <c:pt idx="2">
                  <c:v>-497837.54029011726</c:v>
                </c:pt>
                <c:pt idx="3">
                  <c:v>-639723.15717437491</c:v>
                </c:pt>
                <c:pt idx="4">
                  <c:v>-780904.35793055221</c:v>
                </c:pt>
                <c:pt idx="5">
                  <c:v>-921401.3431301713</c:v>
                </c:pt>
                <c:pt idx="6">
                  <c:v>-1061233.8000610024</c:v>
                </c:pt>
                <c:pt idx="7">
                  <c:v>-1200420.9136727974</c:v>
                </c:pt>
                <c:pt idx="8">
                  <c:v>-1338981.377370961</c:v>
                </c:pt>
                <c:pt idx="9">
                  <c:v>-1476933.4036563635</c:v>
                </c:pt>
                <c:pt idx="10">
                  <c:v>-3427110.8691633344</c:v>
                </c:pt>
                <c:pt idx="11">
                  <c:v>-3563898.786772646</c:v>
                </c:pt>
                <c:pt idx="12">
                  <c:v>-3700130.1231032014</c:v>
                </c:pt>
                <c:pt idx="13">
                  <c:v>-3835821.2703085616</c:v>
                </c:pt>
                <c:pt idx="14">
                  <c:v>-3970988.1904824451</c:v>
                </c:pt>
                <c:pt idx="15">
                  <c:v>-4105646.4253509417</c:v>
                </c:pt>
                <c:pt idx="16">
                  <c:v>-4239811.1058048382</c:v>
                </c:pt>
                <c:pt idx="17">
                  <c:v>-4373496.9612720609</c:v>
                </c:pt>
                <c:pt idx="18">
                  <c:v>-4506718.3289303333</c:v>
                </c:pt>
                <c:pt idx="19">
                  <c:v>-4639489.1627604142</c:v>
                </c:pt>
                <c:pt idx="20">
                  <c:v>-4989744.501960434</c:v>
                </c:pt>
                <c:pt idx="21">
                  <c:v>-5121654.6416010633</c:v>
                </c:pt>
                <c:pt idx="22">
                  <c:v>-5253153.898324497</c:v>
                </c:pt>
                <c:pt idx="23">
                  <c:v>-5384254.7806850672</c:v>
                </c:pt>
                <c:pt idx="24">
                  <c:v>-5514969.4569346905</c:v>
                </c:pt>
                <c:pt idx="25">
                  <c:v>-5645309.7631332129</c:v>
                </c:pt>
                <c:pt idx="26">
                  <c:v>-5775287.2111052126</c:v>
                </c:pt>
                <c:pt idx="27">
                  <c:v>-5904912.9962441772</c:v>
                </c:pt>
                <c:pt idx="28">
                  <c:v>-6034198.005165562</c:v>
                </c:pt>
                <c:pt idx="29">
                  <c:v>-6163152.8232101649</c:v>
                </c:pt>
                <c:pt idx="30">
                  <c:v>-7835190.6898518354</c:v>
                </c:pt>
                <c:pt idx="31">
                  <c:v>-7963515.713694796</c:v>
                </c:pt>
                <c:pt idx="32">
                  <c:v>-8091540.5678531975</c:v>
                </c:pt>
                <c:pt idx="33">
                  <c:v>-8219274.7046597004</c:v>
                </c:pt>
                <c:pt idx="34">
                  <c:v>-8346727.3104959279</c:v>
                </c:pt>
                <c:pt idx="35">
                  <c:v>-8473907.3124300539</c:v>
                </c:pt>
                <c:pt idx="36">
                  <c:v>-8600823.3847161382</c:v>
                </c:pt>
                <c:pt idx="37">
                  <c:v>-8727483.9551567435</c:v>
                </c:pt>
                <c:pt idx="38">
                  <c:v>-8853897.2113310248</c:v>
                </c:pt>
                <c:pt idx="39">
                  <c:v>-8980071.1066898853</c:v>
                </c:pt>
                <c:pt idx="40">
                  <c:v>-9536209.9759297669</c:v>
                </c:pt>
              </c:numCache>
            </c:numRef>
          </c:val>
          <c:extLst>
            <c:ext xmlns:c16="http://schemas.microsoft.com/office/drawing/2014/chart" uri="{C3380CC4-5D6E-409C-BE32-E72D297353CC}">
              <c16:uniqueId val="{00000000-E7D3-49AD-AC59-3225B3E15A63}"/>
            </c:ext>
          </c:extLst>
        </c:ser>
        <c:dLbls>
          <c:showLegendKey val="0"/>
          <c:showVal val="0"/>
          <c:showCatName val="0"/>
          <c:showSerName val="0"/>
          <c:showPercent val="0"/>
          <c:showBubbleSize val="0"/>
        </c:dLbls>
        <c:gapWidth val="150"/>
        <c:axId val="121870976"/>
        <c:axId val="121872768"/>
      </c:barChart>
      <c:catAx>
        <c:axId val="121870976"/>
        <c:scaling>
          <c:orientation val="minMax"/>
        </c:scaling>
        <c:delete val="0"/>
        <c:axPos val="b"/>
        <c:numFmt formatCode="#,##0" sourceLinked="1"/>
        <c:majorTickMark val="out"/>
        <c:minorTickMark val="none"/>
        <c:tickLblPos val="nextTo"/>
        <c:txPr>
          <a:bodyPr/>
          <a:lstStyle/>
          <a:p>
            <a:pPr>
              <a:defRPr sz="700" baseline="0"/>
            </a:pPr>
            <a:endParaRPr lang="nl-NL"/>
          </a:p>
        </c:txPr>
        <c:crossAx val="121872768"/>
        <c:crosses val="autoZero"/>
        <c:auto val="1"/>
        <c:lblAlgn val="ctr"/>
        <c:lblOffset val="100"/>
        <c:noMultiLvlLbl val="0"/>
      </c:catAx>
      <c:valAx>
        <c:axId val="121872768"/>
        <c:scaling>
          <c:orientation val="minMax"/>
        </c:scaling>
        <c:delete val="0"/>
        <c:axPos val="l"/>
        <c:majorGridlines/>
        <c:numFmt formatCode="_ [$€-413]\ * #,##0_ ;_ [$€-413]\ * \-#,##0_ ;_ [$€-413]\ * &quot;-&quot;???_ ;_ @_ " sourceLinked="1"/>
        <c:majorTickMark val="out"/>
        <c:minorTickMark val="none"/>
        <c:tickLblPos val="nextTo"/>
        <c:txPr>
          <a:bodyPr/>
          <a:lstStyle/>
          <a:p>
            <a:pPr>
              <a:defRPr sz="800" baseline="0"/>
            </a:pPr>
            <a:endParaRPr lang="nl-NL"/>
          </a:p>
        </c:txPr>
        <c:crossAx val="121870976"/>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Vergleich</a:t>
            </a:r>
            <a:r>
              <a:rPr lang="nl-NL" baseline="0"/>
              <a:t> kumulativer Barwert</a:t>
            </a:r>
            <a:endParaRPr lang="nl-NL"/>
          </a:p>
        </c:rich>
      </c:tx>
      <c:overlay val="1"/>
    </c:title>
    <c:autoTitleDeleted val="0"/>
    <c:plotArea>
      <c:layout>
        <c:manualLayout>
          <c:layoutTarget val="inner"/>
          <c:xMode val="edge"/>
          <c:yMode val="edge"/>
          <c:x val="0.13012886283004127"/>
          <c:y val="0.14278431322934373"/>
          <c:w val="0.8398457119933137"/>
          <c:h val="0.76360147726253269"/>
        </c:manualLayout>
      </c:layout>
      <c:lineChart>
        <c:grouping val="standard"/>
        <c:varyColors val="0"/>
        <c:ser>
          <c:idx val="0"/>
          <c:order val="0"/>
          <c:tx>
            <c:strRef>
              <c:f>'Zusammenfassung Ergebnis'!$C$114</c:f>
              <c:strCache>
                <c:ptCount val="1"/>
                <c:pt idx="0">
                  <c:v>Referenz gebouw (1)</c:v>
                </c:pt>
              </c:strCache>
            </c:strRef>
          </c:tx>
          <c:spPr>
            <a:ln>
              <a:solidFill>
                <a:schemeClr val="accent5">
                  <a:lumMod val="75000"/>
                </a:schemeClr>
              </a:solidFill>
            </a:ln>
          </c:spPr>
          <c:marker>
            <c:symbol val="none"/>
          </c:marker>
          <c:cat>
            <c:numRef>
              <c:f>'Zusammenfassung Ergebnis'!$D$70:$D$110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'Zusammenfassung Ergebnis'!$O$116:$O$156</c:f>
              <c:numCache>
                <c:formatCode>_ [$€-413]\ * #,##0_ ;_ [$€-413]\ * \-#,##0_ ;_ [$€-413]\ * "-"???_ ;_ @_ </c:formatCode>
                <c:ptCount val="41"/>
                <c:pt idx="0">
                  <c:v>-30652634.039999999</c:v>
                </c:pt>
                <c:pt idx="1">
                  <c:v>-31554043.557884615</c:v>
                </c:pt>
                <c:pt idx="2">
                  <c:v>-32436186.469382394</c:v>
                </c:pt>
                <c:pt idx="3">
                  <c:v>-33299507.532972489</c:v>
                </c:pt>
                <c:pt idx="4">
                  <c:v>-34144440.35264343</c:v>
                </c:pt>
                <c:pt idx="5">
                  <c:v>-34971407.680161998</c:v>
                </c:pt>
                <c:pt idx="6">
                  <c:v>-35780821.708615996</c:v>
                </c:pt>
                <c:pt idx="7">
                  <c:v>-36573084.357494935</c:v>
                </c:pt>
                <c:pt idx="8">
                  <c:v>-37348587.54956416</c:v>
                </c:pt>
                <c:pt idx="9">
                  <c:v>-38107713.479780249</c:v>
                </c:pt>
                <c:pt idx="10">
                  <c:v>-47069813.733277239</c:v>
                </c:pt>
                <c:pt idx="11">
                  <c:v>-47797294.111918077</c:v>
                </c:pt>
                <c:pt idx="12">
                  <c:v>-48509488.021481887</c:v>
                </c:pt>
                <c:pt idx="13">
                  <c:v>-49206741.283911519</c:v>
                </c:pt>
                <c:pt idx="14">
                  <c:v>-49889391.22667814</c:v>
                </c:pt>
                <c:pt idx="15">
                  <c:v>-50557766.908729658</c:v>
                </c:pt>
                <c:pt idx="16">
                  <c:v>-51212189.340011157</c:v>
                </c:pt>
                <c:pt idx="17">
                  <c:v>-51852971.69474978</c:v>
                </c:pt>
                <c:pt idx="18">
                  <c:v>-52480419.518690363</c:v>
                </c:pt>
                <c:pt idx="19">
                  <c:v>-53094830.930462539</c:v>
                </c:pt>
                <c:pt idx="20">
                  <c:v>-71115077.474777877</c:v>
                </c:pt>
                <c:pt idx="21">
                  <c:v>-71704281.682485282</c:v>
                </c:pt>
                <c:pt idx="22">
                  <c:v>-72281301.20050253</c:v>
                </c:pt>
                <c:pt idx="23">
                  <c:v>-72846406.341311976</c:v>
                </c:pt>
                <c:pt idx="24">
                  <c:v>-73399860.915028229</c:v>
                </c:pt>
                <c:pt idx="25">
                  <c:v>-73941922.399046063</c:v>
                </c:pt>
                <c:pt idx="26">
                  <c:v>-74472842.102937222</c:v>
                </c:pt>
                <c:pt idx="27">
                  <c:v>-74992865.328736588</c:v>
                </c:pt>
                <c:pt idx="28">
                  <c:v>-75502231.526753947</c:v>
                </c:pt>
                <c:pt idx="29">
                  <c:v>-76001174.447043478</c:v>
                </c:pt>
                <c:pt idx="30">
                  <c:v>-82063762.473906413</c:v>
                </c:pt>
                <c:pt idx="31">
                  <c:v>-82542538.020065814</c:v>
                </c:pt>
                <c:pt idx="32">
                  <c:v>-83011558.78934662</c:v>
                </c:pt>
                <c:pt idx="33">
                  <c:v>-83471037.163027033</c:v>
                </c:pt>
                <c:pt idx="34">
                  <c:v>-83921180.518687084</c:v>
                </c:pt>
                <c:pt idx="35">
                  <c:v>-84362191.358178899</c:v>
                </c:pt>
                <c:pt idx="36">
                  <c:v>-84794267.432072341</c:v>
                </c:pt>
                <c:pt idx="37">
                  <c:v>-85217601.860678941</c:v>
                </c:pt>
                <c:pt idx="38">
                  <c:v>-85632383.25175409</c:v>
                </c:pt>
                <c:pt idx="39">
                  <c:v>-86038795.814974159</c:v>
                </c:pt>
                <c:pt idx="40">
                  <c:v>-86693867.537016481</c:v>
                </c:pt>
              </c:numCache>
            </c:numRef>
          </c:val>
          <c:smooth val="0"/>
          <c:extLst>
            <c:ext xmlns:c16="http://schemas.microsoft.com/office/drawing/2014/chart" uri="{C3380CC4-5D6E-409C-BE32-E72D297353CC}">
              <c16:uniqueId val="{00000000-FD68-4253-ACD5-50E5969B8FF5}"/>
            </c:ext>
          </c:extLst>
        </c:ser>
        <c:ser>
          <c:idx val="1"/>
          <c:order val="1"/>
          <c:tx>
            <c:strRef>
              <c:f>'Zusammenfassung Ergebnis'!$C$68</c:f>
              <c:strCache>
                <c:ptCount val="1"/>
                <c:pt idx="0">
                  <c:v>Nachhaltiges Gebäude (2)</c:v>
                </c:pt>
              </c:strCache>
            </c:strRef>
          </c:tx>
          <c:spPr>
            <a:ln>
              <a:solidFill>
                <a:schemeClr val="accent3">
                  <a:lumMod val="75000"/>
                </a:schemeClr>
              </a:solidFill>
            </a:ln>
          </c:spPr>
          <c:marker>
            <c:symbol val="none"/>
          </c:marker>
          <c:cat>
            <c:numRef>
              <c:f>'Zusammenfassung Ergebnis'!$D$70:$D$110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'Zusammenfassung Ergebnis'!$O$70:$O$110</c:f>
              <c:numCache>
                <c:formatCode>_ [$€-413]\ * #,##0_ ;_ [$€-413]\ * \-#,##0_ ;_ [$€-413]\ * "-"???_ ;_ @_ </c:formatCode>
                <c:ptCount val="41"/>
                <c:pt idx="0">
                  <c:v>-30436100.955750003</c:v>
                </c:pt>
                <c:pt idx="1">
                  <c:v>-31198816.775557697</c:v>
                </c:pt>
                <c:pt idx="2">
                  <c:v>-31938348.929092277</c:v>
                </c:pt>
                <c:pt idx="3">
                  <c:v>-32659784.375798114</c:v>
                </c:pt>
                <c:pt idx="4">
                  <c:v>-33363535.994712878</c:v>
                </c:pt>
                <c:pt idx="5">
                  <c:v>-34050006.337031826</c:v>
                </c:pt>
                <c:pt idx="6">
                  <c:v>-34719587.908554994</c:v>
                </c:pt>
                <c:pt idx="7">
                  <c:v>-35372663.443822138</c:v>
                </c:pt>
                <c:pt idx="8">
                  <c:v>-36009606.172193199</c:v>
                </c:pt>
                <c:pt idx="9">
                  <c:v>-36630780.076123886</c:v>
                </c:pt>
                <c:pt idx="10">
                  <c:v>-43642702.864113905</c:v>
                </c:pt>
                <c:pt idx="11">
                  <c:v>-44233395.325145431</c:v>
                </c:pt>
                <c:pt idx="12">
                  <c:v>-44809357.898378685</c:v>
                </c:pt>
                <c:pt idx="13">
                  <c:v>-45370920.013602957</c:v>
                </c:pt>
                <c:pt idx="14">
                  <c:v>-45918403.036195695</c:v>
                </c:pt>
                <c:pt idx="15">
                  <c:v>-46452120.483378716</c:v>
                </c:pt>
                <c:pt idx="16">
                  <c:v>-46972378.234206319</c:v>
                </c:pt>
                <c:pt idx="17">
                  <c:v>-47479474.733477719</c:v>
                </c:pt>
                <c:pt idx="18">
                  <c:v>-47973701.189760029</c:v>
                </c:pt>
                <c:pt idx="19">
                  <c:v>-48455341.767702125</c:v>
                </c:pt>
                <c:pt idx="20">
                  <c:v>-66125332.972817443</c:v>
                </c:pt>
                <c:pt idx="21">
                  <c:v>-66582627.040884219</c:v>
                </c:pt>
                <c:pt idx="22">
                  <c:v>-67028147.302178033</c:v>
                </c:pt>
                <c:pt idx="23">
                  <c:v>-67462151.560626909</c:v>
                </c:pt>
                <c:pt idx="24">
                  <c:v>-67884891.458093539</c:v>
                </c:pt>
                <c:pt idx="25">
                  <c:v>-68296612.63591285</c:v>
                </c:pt>
                <c:pt idx="26">
                  <c:v>-68697554.891832009</c:v>
                </c:pt>
                <c:pt idx="27">
                  <c:v>-69087952.332492411</c:v>
                </c:pt>
                <c:pt idx="28">
                  <c:v>-69468033.521588385</c:v>
                </c:pt>
                <c:pt idx="29">
                  <c:v>-69838021.623833314</c:v>
                </c:pt>
                <c:pt idx="30">
                  <c:v>-74228571.784054577</c:v>
                </c:pt>
                <c:pt idx="31">
                  <c:v>-74579022.306371018</c:v>
                </c:pt>
                <c:pt idx="32">
                  <c:v>-74920018.221493423</c:v>
                </c:pt>
                <c:pt idx="33">
                  <c:v>-75251762.458367333</c:v>
                </c:pt>
                <c:pt idx="34">
                  <c:v>-75574453.208191156</c:v>
                </c:pt>
                <c:pt idx="35">
                  <c:v>-75888284.045748845</c:v>
                </c:pt>
                <c:pt idx="36">
                  <c:v>-76193444.047356203</c:v>
                </c:pt>
                <c:pt idx="37">
                  <c:v>-76490117.905522197</c:v>
                </c:pt>
                <c:pt idx="38">
                  <c:v>-76778486.040423065</c:v>
                </c:pt>
                <c:pt idx="39">
                  <c:v>-77058724.708284274</c:v>
                </c:pt>
                <c:pt idx="40">
                  <c:v>-77157657.561086714</c:v>
                </c:pt>
              </c:numCache>
            </c:numRef>
          </c:val>
          <c:smooth val="0"/>
          <c:extLst>
            <c:ext xmlns:c16="http://schemas.microsoft.com/office/drawing/2014/chart" uri="{C3380CC4-5D6E-409C-BE32-E72D297353CC}">
              <c16:uniqueId val="{00000001-FD68-4253-ACD5-50E5969B8FF5}"/>
            </c:ext>
          </c:extLst>
        </c:ser>
        <c:dLbls>
          <c:showLegendKey val="0"/>
          <c:showVal val="0"/>
          <c:showCatName val="0"/>
          <c:showSerName val="0"/>
          <c:showPercent val="0"/>
          <c:showBubbleSize val="0"/>
        </c:dLbls>
        <c:smooth val="0"/>
        <c:axId val="117496064"/>
        <c:axId val="117497856"/>
      </c:lineChart>
      <c:catAx>
        <c:axId val="117496064"/>
        <c:scaling>
          <c:orientation val="minMax"/>
        </c:scaling>
        <c:delete val="0"/>
        <c:axPos val="b"/>
        <c:numFmt formatCode="#,##0" sourceLinked="1"/>
        <c:majorTickMark val="out"/>
        <c:minorTickMark val="none"/>
        <c:tickLblPos val="nextTo"/>
        <c:txPr>
          <a:bodyPr/>
          <a:lstStyle/>
          <a:p>
            <a:pPr>
              <a:defRPr sz="700" baseline="0"/>
            </a:pPr>
            <a:endParaRPr lang="nl-NL"/>
          </a:p>
        </c:txPr>
        <c:crossAx val="117497856"/>
        <c:crosses val="autoZero"/>
        <c:auto val="1"/>
        <c:lblAlgn val="ctr"/>
        <c:lblOffset val="100"/>
        <c:noMultiLvlLbl val="0"/>
      </c:catAx>
      <c:valAx>
        <c:axId val="117497856"/>
        <c:scaling>
          <c:orientation val="minMax"/>
        </c:scaling>
        <c:delete val="0"/>
        <c:axPos val="l"/>
        <c:majorGridlines/>
        <c:numFmt formatCode="_ [$€-413]\ * #,##0_ ;_ [$€-413]\ * \-#,##0_ ;_ [$€-413]\ * &quot;-&quot;???_ ;_ @_ " sourceLinked="1"/>
        <c:majorTickMark val="out"/>
        <c:minorTickMark val="none"/>
        <c:tickLblPos val="nextTo"/>
        <c:txPr>
          <a:bodyPr/>
          <a:lstStyle/>
          <a:p>
            <a:pPr>
              <a:defRPr sz="800" baseline="0"/>
            </a:pPr>
            <a:endParaRPr lang="nl-NL"/>
          </a:p>
        </c:txPr>
        <c:crossAx val="117496064"/>
        <c:crosses val="autoZero"/>
        <c:crossBetween val="between"/>
      </c:valAx>
    </c:plotArea>
    <c:legend>
      <c:legendPos val="r"/>
      <c:layout>
        <c:manualLayout>
          <c:xMode val="edge"/>
          <c:yMode val="edge"/>
          <c:x val="6.2750529398204941E-2"/>
          <c:y val="0.92592783220579544"/>
          <c:w val="0.82395109486581986"/>
          <c:h val="7.4072167794204585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nl-NL"/>
              <a:t>Übersicht Cashflow</a:t>
            </a:r>
            <a:r>
              <a:rPr lang="nl-NL" sz="1400"/>
              <a:t> </a:t>
            </a:r>
            <a:r>
              <a:rPr lang="nl-NL" sz="1400" b="1" i="0" baseline="0">
                <a:effectLst/>
              </a:rPr>
              <a:t>(incl. Zinsen &amp; Rückzahlung)</a:t>
            </a:r>
            <a:endParaRPr lang="nl-NL">
              <a:effectLst/>
            </a:endParaRPr>
          </a:p>
        </c:rich>
      </c:tx>
      <c:overlay val="1"/>
    </c:title>
    <c:autoTitleDeleted val="0"/>
    <c:plotArea>
      <c:layout>
        <c:manualLayout>
          <c:layoutTarget val="inner"/>
          <c:xMode val="edge"/>
          <c:yMode val="edge"/>
          <c:x val="0.13012886283004127"/>
          <c:y val="0.14278431322934373"/>
          <c:w val="0.8398457119933137"/>
          <c:h val="0.76360147726253269"/>
        </c:manualLayout>
      </c:layout>
      <c:barChart>
        <c:barDir val="col"/>
        <c:grouping val="clustered"/>
        <c:varyColors val="0"/>
        <c:ser>
          <c:idx val="0"/>
          <c:order val="0"/>
          <c:tx>
            <c:strRef>
              <c:f>'Zusammenfassung Ergebnis'!$C$114</c:f>
              <c:strCache>
                <c:ptCount val="1"/>
                <c:pt idx="0">
                  <c:v>Referenz gebouw (1)</c:v>
                </c:pt>
              </c:strCache>
            </c:strRef>
          </c:tx>
          <c:spPr>
            <a:solidFill>
              <a:schemeClr val="accent1"/>
            </a:solidFill>
            <a:ln>
              <a:solidFill>
                <a:schemeClr val="accent5">
                  <a:lumMod val="75000"/>
                </a:schemeClr>
              </a:solidFill>
            </a:ln>
          </c:spPr>
          <c:invertIfNegative val="0"/>
          <c:cat>
            <c:numRef>
              <c:f>'Zusammenfassung Ergebnis'!$D$70:$D$110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'Zusammenfassung Ergebnis'!$AP$70:$AP$110</c:f>
              <c:numCache>
                <c:formatCode>_-"€"\ * #,##0_-;_-"€"\ * #,##0\-;_-"€"\ * "-"??_-;_-@_-</c:formatCode>
                <c:ptCount val="41"/>
                <c:pt idx="0">
                  <c:v>0</c:v>
                </c:pt>
                <c:pt idx="1">
                  <c:v>-2411115.4186</c:v>
                </c:pt>
                <c:pt idx="2">
                  <c:v>-2405104.8130760002</c:v>
                </c:pt>
                <c:pt idx="3">
                  <c:v>-2399427.3448742102</c:v>
                </c:pt>
                <c:pt idx="4">
                  <c:v>-2394089.9717169893</c:v>
                </c:pt>
                <c:pt idx="5">
                  <c:v>-2389099.7992154323</c:v>
                </c:pt>
                <c:pt idx="6">
                  <c:v>-2384464.0840403074</c:v>
                </c:pt>
                <c:pt idx="7">
                  <c:v>-2380190.2371613584</c:v>
                </c:pt>
                <c:pt idx="8">
                  <c:v>-2376285.8271564394</c:v>
                </c:pt>
                <c:pt idx="9">
                  <c:v>-2372758.5835920102</c:v>
                </c:pt>
                <c:pt idx="10">
                  <c:v>-2501753.9005501075</c:v>
                </c:pt>
                <c:pt idx="11">
                  <c:v>-2625949.7647738019</c:v>
                </c:pt>
                <c:pt idx="12">
                  <c:v>-2620987.6258409889</c:v>
                </c:pt>
                <c:pt idx="13">
                  <c:v>-2616435.2516950825</c:v>
                </c:pt>
                <c:pt idx="14">
                  <c:v>-2612301.2301602345</c:v>
                </c:pt>
                <c:pt idx="15">
                  <c:v>-2608594.331919414</c:v>
                </c:pt>
                <c:pt idx="16">
                  <c:v>-2605323.5144395363</c:v>
                </c:pt>
                <c:pt idx="17">
                  <c:v>-2602497.9259812874</c:v>
                </c:pt>
                <c:pt idx="18">
                  <c:v>-2600126.9096954707</c:v>
                </c:pt>
                <c:pt idx="19">
                  <c:v>-2598220.0078077507</c:v>
                </c:pt>
                <c:pt idx="20">
                  <c:v>-3260611.9356160229</c:v>
                </c:pt>
                <c:pt idx="21">
                  <c:v>-3409891.6516446378</c:v>
                </c:pt>
                <c:pt idx="22">
                  <c:v>-3401733.2105668117</c:v>
                </c:pt>
                <c:pt idx="23">
                  <c:v>-3394079.1304357126</c:v>
                </c:pt>
                <c:pt idx="24">
                  <c:v>-3386940.0148529145</c:v>
                </c:pt>
                <c:pt idx="25">
                  <c:v>-3380326.6935699312</c:v>
                </c:pt>
                <c:pt idx="26">
                  <c:v>-3374250.2273477782</c:v>
                </c:pt>
                <c:pt idx="27">
                  <c:v>-3368721.9129214711</c:v>
                </c:pt>
                <c:pt idx="28">
                  <c:v>-3363753.2880717367</c:v>
                </c:pt>
                <c:pt idx="29">
                  <c:v>-3359356.1368062608</c:v>
                </c:pt>
                <c:pt idx="30">
                  <c:v>-3569631.6437525423</c:v>
                </c:pt>
                <c:pt idx="31">
                  <c:v>-3755047.2837721999</c:v>
                </c:pt>
                <c:pt idx="32">
                  <c:v>-3748552.8879341776</c:v>
                </c:pt>
                <c:pt idx="33">
                  <c:v>-3742679.6715739523</c:v>
                </c:pt>
                <c:pt idx="34">
                  <c:v>-3737440.7315556784</c:v>
                </c:pt>
                <c:pt idx="35">
                  <c:v>-3732849.4444948942</c:v>
                </c:pt>
                <c:pt idx="36">
                  <c:v>-3728919.4727759976</c:v>
                </c:pt>
                <c:pt idx="37">
                  <c:v>-3725664.770699759</c:v>
                </c:pt>
                <c:pt idx="38">
                  <c:v>-3723099.5907637035</c:v>
                </c:pt>
                <c:pt idx="39">
                  <c:v>-3721238.490078243</c:v>
                </c:pt>
                <c:pt idx="40">
                  <c:v>-3562164.2010768177</c:v>
                </c:pt>
              </c:numCache>
            </c:numRef>
          </c:val>
          <c:extLst>
            <c:ext xmlns:c16="http://schemas.microsoft.com/office/drawing/2014/chart" uri="{C3380CC4-5D6E-409C-BE32-E72D297353CC}">
              <c16:uniqueId val="{00000000-861C-46C7-98E4-6D8FCD7A8535}"/>
            </c:ext>
          </c:extLst>
        </c:ser>
        <c:ser>
          <c:idx val="1"/>
          <c:order val="1"/>
          <c:tx>
            <c:strRef>
              <c:f>'Zusammenfassung Ergebnis'!$C$68</c:f>
              <c:strCache>
                <c:ptCount val="1"/>
                <c:pt idx="0">
                  <c:v>Nachhaltiges Gebäude (2)</c:v>
                </c:pt>
              </c:strCache>
            </c:strRef>
          </c:tx>
          <c:spPr>
            <a:solidFill>
              <a:schemeClr val="accent3"/>
            </a:solidFill>
            <a:ln>
              <a:solidFill>
                <a:schemeClr val="accent3">
                  <a:lumMod val="75000"/>
                </a:schemeClr>
              </a:solidFill>
            </a:ln>
          </c:spPr>
          <c:invertIfNegative val="0"/>
          <c:cat>
            <c:numRef>
              <c:f>'Zusammenfassung Ergebnis'!$D$70:$D$110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'Zusammenfassung Ergebnis'!$AO$70:$AO$110</c:f>
              <c:numCache>
                <c:formatCode>_-"€"\ * #,##0_-;_-"€"\ * #,##0\-;_-"€"\ * "-"??_-;_-@_-</c:formatCode>
                <c:ptCount val="41"/>
                <c:pt idx="0">
                  <c:v>0</c:v>
                </c:pt>
                <c:pt idx="1">
                  <c:v>-2202799.00985</c:v>
                </c:pt>
                <c:pt idx="2">
                  <c:v>-2188037.404263</c:v>
                </c:pt>
                <c:pt idx="3">
                  <c:v>-2178261.059073315</c:v>
                </c:pt>
                <c:pt idx="4">
                  <c:v>-2168619.0220012967</c:v>
                </c:pt>
                <c:pt idx="5">
                  <c:v>-2159110.1706438707</c:v>
                </c:pt>
                <c:pt idx="6">
                  <c:v>-2149733.2028827062</c:v>
                </c:pt>
                <c:pt idx="7">
                  <c:v>-2140486.6268494874</c:v>
                </c:pt>
                <c:pt idx="8">
                  <c:v>-2131368.7504293267</c:v>
                </c:pt>
                <c:pt idx="9">
                  <c:v>-2122377.6702825185</c:v>
                </c:pt>
                <c:pt idx="10">
                  <c:v>-2070722.6920625607</c:v>
                </c:pt>
                <c:pt idx="11">
                  <c:v>-2309843.7262886055</c:v>
                </c:pt>
                <c:pt idx="12">
                  <c:v>-2299149.8731774222</c:v>
                </c:pt>
                <c:pt idx="13">
                  <c:v>-2288572.853133908</c:v>
                </c:pt>
                <c:pt idx="14">
                  <c:v>-2278109.5236739777</c:v>
                </c:pt>
                <c:pt idx="15">
                  <c:v>-2267756.4538906785</c:v>
                </c:pt>
                <c:pt idx="16">
                  <c:v>-2257509.9094779533</c:v>
                </c:pt>
                <c:pt idx="17">
                  <c:v>-2247365.8370822063</c:v>
                </c:pt>
                <c:pt idx="18">
                  <c:v>-2237319.8479532385</c:v>
                </c:pt>
                <c:pt idx="19">
                  <c:v>-2227367.2008649027</c:v>
                </c:pt>
                <c:pt idx="20">
                  <c:v>-2139076.883826294</c:v>
                </c:pt>
                <c:pt idx="21">
                  <c:v>-3023183.0349578322</c:v>
                </c:pt>
                <c:pt idx="22">
                  <c:v>-3005783.1422906471</c:v>
                </c:pt>
                <c:pt idx="23">
                  <c:v>-2988453.733090979</c:v>
                </c:pt>
                <c:pt idx="24">
                  <c:v>-2971188.0197722595</c:v>
                </c:pt>
                <c:pt idx="25">
                  <c:v>-2953978.7426415686</c:v>
                </c:pt>
                <c:pt idx="26">
                  <c:v>-2936818.1467701546</c:v>
                </c:pt>
                <c:pt idx="27">
                  <c:v>-2919697.9578484017</c:v>
                </c:pt>
                <c:pt idx="28">
                  <c:v>-2902609.3569827243</c:v>
                </c:pt>
                <c:pt idx="29">
                  <c:v>-2885542.9543900476</c:v>
                </c:pt>
                <c:pt idx="30">
                  <c:v>-2818949.1104588602</c:v>
                </c:pt>
                <c:pt idx="31">
                  <c:v>-3170211.0644558473</c:v>
                </c:pt>
                <c:pt idx="32">
                  <c:v>-3150073.6900786986</c:v>
                </c:pt>
                <c:pt idx="33">
                  <c:v>-3129914.6786180572</c:v>
                </c:pt>
                <c:pt idx="34">
                  <c:v>-3109721.3493416463</c:v>
                </c:pt>
                <c:pt idx="35">
                  <c:v>-3089480.2669258309</c:v>
                </c:pt>
                <c:pt idx="36">
                  <c:v>-3069177.2060310729</c:v>
                </c:pt>
                <c:pt idx="37">
                  <c:v>-3048797.1143487566</c:v>
                </c:pt>
                <c:pt idx="38">
                  <c:v>-3028324.0740558561</c:v>
                </c:pt>
                <c:pt idx="39">
                  <c:v>-3007741.2616113136</c:v>
                </c:pt>
                <c:pt idx="40">
                  <c:v>-1588970.7984127449</c:v>
                </c:pt>
              </c:numCache>
            </c:numRef>
          </c:val>
          <c:extLst>
            <c:ext xmlns:c16="http://schemas.microsoft.com/office/drawing/2014/chart" uri="{C3380CC4-5D6E-409C-BE32-E72D297353CC}">
              <c16:uniqueId val="{00000001-861C-46C7-98E4-6D8FCD7A8535}"/>
            </c:ext>
          </c:extLst>
        </c:ser>
        <c:dLbls>
          <c:showLegendKey val="0"/>
          <c:showVal val="0"/>
          <c:showCatName val="0"/>
          <c:showSerName val="0"/>
          <c:showPercent val="0"/>
          <c:showBubbleSize val="0"/>
        </c:dLbls>
        <c:gapWidth val="150"/>
        <c:axId val="123542528"/>
        <c:axId val="123552512"/>
      </c:barChart>
      <c:catAx>
        <c:axId val="123542528"/>
        <c:scaling>
          <c:orientation val="minMax"/>
        </c:scaling>
        <c:delete val="0"/>
        <c:axPos val="b"/>
        <c:numFmt formatCode="#,##0" sourceLinked="1"/>
        <c:majorTickMark val="out"/>
        <c:minorTickMark val="none"/>
        <c:tickLblPos val="nextTo"/>
        <c:txPr>
          <a:bodyPr/>
          <a:lstStyle/>
          <a:p>
            <a:pPr>
              <a:defRPr sz="700" baseline="0"/>
            </a:pPr>
            <a:endParaRPr lang="nl-NL"/>
          </a:p>
        </c:txPr>
        <c:crossAx val="123552512"/>
        <c:crosses val="autoZero"/>
        <c:auto val="1"/>
        <c:lblAlgn val="ctr"/>
        <c:lblOffset val="100"/>
        <c:noMultiLvlLbl val="0"/>
      </c:catAx>
      <c:valAx>
        <c:axId val="123552512"/>
        <c:scaling>
          <c:orientation val="minMax"/>
        </c:scaling>
        <c:delete val="0"/>
        <c:axPos val="l"/>
        <c:majorGridlines/>
        <c:numFmt formatCode="_-&quot;€&quot;\ * #,##0_-;_-&quot;€&quot;\ * #,##0\-;_-&quot;€&quot;\ * &quot;-&quot;??_-;_-@_-" sourceLinked="1"/>
        <c:majorTickMark val="out"/>
        <c:minorTickMark val="none"/>
        <c:tickLblPos val="nextTo"/>
        <c:txPr>
          <a:bodyPr/>
          <a:lstStyle/>
          <a:p>
            <a:pPr>
              <a:defRPr sz="800" baseline="0"/>
            </a:pPr>
            <a:endParaRPr lang="nl-NL"/>
          </a:p>
        </c:txPr>
        <c:crossAx val="123542528"/>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nl-NL"/>
              <a:t>Unterschiede</a:t>
            </a:r>
            <a:r>
              <a:rPr lang="nl-NL" baseline="0"/>
              <a:t> Cashflow </a:t>
            </a:r>
            <a:r>
              <a:rPr lang="nl-NL" sz="1400" b="1" i="0" baseline="0">
                <a:effectLst/>
              </a:rPr>
              <a:t>(incl. Zinsen &amp; Rückzahlung</a:t>
            </a:r>
            <a:r>
              <a:rPr lang="nl-NL" sz="1600" b="1" i="0" baseline="0">
                <a:effectLst/>
              </a:rPr>
              <a:t>)</a:t>
            </a:r>
            <a:endParaRPr lang="nl-NL"/>
          </a:p>
        </c:rich>
      </c:tx>
      <c:overlay val="1"/>
    </c:title>
    <c:autoTitleDeleted val="0"/>
    <c:plotArea>
      <c:layout>
        <c:manualLayout>
          <c:layoutTarget val="inner"/>
          <c:xMode val="edge"/>
          <c:yMode val="edge"/>
          <c:x val="0.13012886283004127"/>
          <c:y val="0.14278431322934373"/>
          <c:w val="0.8398457119933137"/>
          <c:h val="0.73786440652450458"/>
        </c:manualLayout>
      </c:layout>
      <c:barChart>
        <c:barDir val="col"/>
        <c:grouping val="clustered"/>
        <c:varyColors val="0"/>
        <c:ser>
          <c:idx val="1"/>
          <c:order val="0"/>
          <c:tx>
            <c:strRef>
              <c:f>'Zusammenfassung Ergebnis'!$AQ$69</c:f>
              <c:strCache>
                <c:ptCount val="1"/>
                <c:pt idx="0">
                  <c:v>Unterschied im Cashflow (Nachhaltiges Gebäude gegenüber Referenzgebäude)</c:v>
                </c:pt>
              </c:strCache>
            </c:strRef>
          </c:tx>
          <c:spPr>
            <a:solidFill>
              <a:schemeClr val="accent2">
                <a:lumMod val="75000"/>
              </a:schemeClr>
            </a:solidFill>
            <a:ln>
              <a:solidFill>
                <a:schemeClr val="accent2">
                  <a:lumMod val="75000"/>
                </a:schemeClr>
              </a:solidFill>
            </a:ln>
          </c:spPr>
          <c:invertIfNegative val="0"/>
          <c:cat>
            <c:numRef>
              <c:f>'Zusammenfassung Ergebnis'!$D$70:$D$110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'Zusammenfassung Ergebnis'!$AQ$70:$AQ$110</c:f>
              <c:numCache>
                <c:formatCode>_-"€"\ * #,##0_-;_-"€"\ * #,##0\-;_-"€"\ * "-"??_-;_-@_-</c:formatCode>
                <c:ptCount val="41"/>
                <c:pt idx="0">
                  <c:v>0</c:v>
                </c:pt>
                <c:pt idx="1">
                  <c:v>208316.40874999994</c:v>
                </c:pt>
                <c:pt idx="2">
                  <c:v>217067.40881300019</c:v>
                </c:pt>
                <c:pt idx="3">
                  <c:v>221166.28580089519</c:v>
                </c:pt>
                <c:pt idx="4">
                  <c:v>225470.94971569255</c:v>
                </c:pt>
                <c:pt idx="5">
                  <c:v>229989.62857156154</c:v>
                </c:pt>
                <c:pt idx="6">
                  <c:v>234730.88115760125</c:v>
                </c:pt>
                <c:pt idx="7">
                  <c:v>239703.61031187093</c:v>
                </c:pt>
                <c:pt idx="8">
                  <c:v>244917.07672711276</c:v>
                </c:pt>
                <c:pt idx="9">
                  <c:v>250380.91330949171</c:v>
                </c:pt>
                <c:pt idx="10">
                  <c:v>431031.20848754677</c:v>
                </c:pt>
                <c:pt idx="11">
                  <c:v>316106.03848519642</c:v>
                </c:pt>
                <c:pt idx="12">
                  <c:v>321837.75266356673</c:v>
                </c:pt>
                <c:pt idx="13">
                  <c:v>327862.39856117452</c:v>
                </c:pt>
                <c:pt idx="14">
                  <c:v>334191.70648625679</c:v>
                </c:pt>
                <c:pt idx="15">
                  <c:v>340837.87802873552</c:v>
                </c:pt>
                <c:pt idx="16">
                  <c:v>347813.60496158293</c:v>
                </c:pt>
                <c:pt idx="17">
                  <c:v>355132.08889908111</c:v>
                </c:pt>
                <c:pt idx="18">
                  <c:v>362807.06174223218</c:v>
                </c:pt>
                <c:pt idx="19">
                  <c:v>370852.80694284802</c:v>
                </c:pt>
                <c:pt idx="20">
                  <c:v>1121535.0517897289</c:v>
                </c:pt>
                <c:pt idx="21">
                  <c:v>386708.61668680562</c:v>
                </c:pt>
                <c:pt idx="22">
                  <c:v>395950.06827616459</c:v>
                </c:pt>
                <c:pt idx="23">
                  <c:v>405625.39734473359</c:v>
                </c:pt>
                <c:pt idx="24">
                  <c:v>415751.99508065498</c:v>
                </c:pt>
                <c:pt idx="25">
                  <c:v>426347.95092836255</c:v>
                </c:pt>
                <c:pt idx="26">
                  <c:v>437432.08057762356</c:v>
                </c:pt>
                <c:pt idx="27">
                  <c:v>449023.95507306932</c:v>
                </c:pt>
                <c:pt idx="28">
                  <c:v>461143.93108901242</c:v>
                </c:pt>
                <c:pt idx="29">
                  <c:v>473813.18241621321</c:v>
                </c:pt>
                <c:pt idx="30">
                  <c:v>750682.53329368215</c:v>
                </c:pt>
                <c:pt idx="31">
                  <c:v>584836.21931635262</c:v>
                </c:pt>
                <c:pt idx="32">
                  <c:v>598479.19785547908</c:v>
                </c:pt>
                <c:pt idx="33">
                  <c:v>612764.99295589514</c:v>
                </c:pt>
                <c:pt idx="34">
                  <c:v>627719.38221403211</c:v>
                </c:pt>
                <c:pt idx="35">
                  <c:v>643369.17756906338</c:v>
                </c:pt>
                <c:pt idx="36">
                  <c:v>659742.26674492471</c:v>
                </c:pt>
                <c:pt idx="37">
                  <c:v>676867.6563510024</c:v>
                </c:pt>
                <c:pt idx="38">
                  <c:v>694775.51670784736</c:v>
                </c:pt>
                <c:pt idx="39">
                  <c:v>713497.2284669294</c:v>
                </c:pt>
                <c:pt idx="40">
                  <c:v>1973193.4026640728</c:v>
                </c:pt>
              </c:numCache>
            </c:numRef>
          </c:val>
          <c:extLst>
            <c:ext xmlns:c16="http://schemas.microsoft.com/office/drawing/2014/chart" uri="{C3380CC4-5D6E-409C-BE32-E72D297353CC}">
              <c16:uniqueId val="{00000000-5082-4FAD-AC3C-05B08442CE26}"/>
            </c:ext>
          </c:extLst>
        </c:ser>
        <c:dLbls>
          <c:showLegendKey val="0"/>
          <c:showVal val="0"/>
          <c:showCatName val="0"/>
          <c:showSerName val="0"/>
          <c:showPercent val="0"/>
          <c:showBubbleSize val="0"/>
        </c:dLbls>
        <c:gapWidth val="150"/>
        <c:axId val="123582336"/>
        <c:axId val="123583872"/>
      </c:barChart>
      <c:catAx>
        <c:axId val="123582336"/>
        <c:scaling>
          <c:orientation val="minMax"/>
        </c:scaling>
        <c:delete val="0"/>
        <c:axPos val="b"/>
        <c:numFmt formatCode="#,##0" sourceLinked="1"/>
        <c:majorTickMark val="out"/>
        <c:minorTickMark val="none"/>
        <c:tickLblPos val="nextTo"/>
        <c:txPr>
          <a:bodyPr/>
          <a:lstStyle/>
          <a:p>
            <a:pPr>
              <a:defRPr sz="700" baseline="0"/>
            </a:pPr>
            <a:endParaRPr lang="nl-NL"/>
          </a:p>
        </c:txPr>
        <c:crossAx val="123583872"/>
        <c:crosses val="autoZero"/>
        <c:auto val="1"/>
        <c:lblAlgn val="ctr"/>
        <c:lblOffset val="100"/>
        <c:noMultiLvlLbl val="0"/>
      </c:catAx>
      <c:valAx>
        <c:axId val="123583872"/>
        <c:scaling>
          <c:orientation val="minMax"/>
        </c:scaling>
        <c:delete val="0"/>
        <c:axPos val="l"/>
        <c:majorGridlines/>
        <c:numFmt formatCode="_-&quot;€&quot;\ * #,##0_-;_-&quot;€&quot;\ * #,##0\-;_-&quot;€&quot;\ * &quot;-&quot;??_-;_-@_-" sourceLinked="1"/>
        <c:majorTickMark val="out"/>
        <c:minorTickMark val="none"/>
        <c:tickLblPos val="nextTo"/>
        <c:txPr>
          <a:bodyPr/>
          <a:lstStyle/>
          <a:p>
            <a:pPr>
              <a:defRPr sz="800" baseline="0"/>
            </a:pPr>
            <a:endParaRPr lang="nl-NL"/>
          </a:p>
        </c:txPr>
        <c:crossAx val="123582336"/>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Kumulativer Barwert</a:t>
            </a:r>
          </a:p>
        </c:rich>
      </c:tx>
      <c:overlay val="1"/>
    </c:title>
    <c:autoTitleDeleted val="0"/>
    <c:plotArea>
      <c:layout>
        <c:manualLayout>
          <c:layoutTarget val="inner"/>
          <c:xMode val="edge"/>
          <c:yMode val="edge"/>
          <c:x val="0.13012886283004127"/>
          <c:y val="0.14278431322934373"/>
          <c:w val="0.8398457119933137"/>
          <c:h val="0.73786440652450458"/>
        </c:manualLayout>
      </c:layout>
      <c:barChart>
        <c:barDir val="col"/>
        <c:grouping val="clustered"/>
        <c:varyColors val="0"/>
        <c:ser>
          <c:idx val="1"/>
          <c:order val="0"/>
          <c:tx>
            <c:strRef>
              <c:f>'Zusammenfassung Ergebnis'!$AG$69</c:f>
              <c:strCache>
                <c:ptCount val="1"/>
                <c:pt idx="0">
                  <c:v>Unterschied kumulativer Barwert</c:v>
                </c:pt>
              </c:strCache>
            </c:strRef>
          </c:tx>
          <c:spPr>
            <a:solidFill>
              <a:schemeClr val="accent2">
                <a:lumMod val="75000"/>
              </a:schemeClr>
            </a:solidFill>
            <a:ln>
              <a:solidFill>
                <a:schemeClr val="accent2">
                  <a:lumMod val="75000"/>
                </a:schemeClr>
              </a:solidFill>
            </a:ln>
          </c:spPr>
          <c:invertIfNegative val="0"/>
          <c:cat>
            <c:numRef>
              <c:f>'Zusammenfassung Ergebnis'!$D$70:$D$110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'Zusammenfassung Ergebnis'!$AG$70:$AG$110</c:f>
              <c:numCache>
                <c:formatCode>_ [$€-413]\ * #,##0_ ;_ [$€-413]\ * \-#,##0_ ;_ [$€-413]\ * "-"???_ ;_ @_ </c:formatCode>
                <c:ptCount val="41"/>
                <c:pt idx="0">
                  <c:v>-216533.08424999565</c:v>
                </c:pt>
                <c:pt idx="1">
                  <c:v>-355226.7823269181</c:v>
                </c:pt>
                <c:pt idx="2">
                  <c:v>-497837.54029011726</c:v>
                </c:pt>
                <c:pt idx="3">
                  <c:v>-639723.15717437491</c:v>
                </c:pt>
                <c:pt idx="4">
                  <c:v>-780904.35793055221</c:v>
                </c:pt>
                <c:pt idx="5">
                  <c:v>-921401.3431301713</c:v>
                </c:pt>
                <c:pt idx="6">
                  <c:v>-1061233.8000610024</c:v>
                </c:pt>
                <c:pt idx="7">
                  <c:v>-1200420.9136727974</c:v>
                </c:pt>
                <c:pt idx="8">
                  <c:v>-1338981.377370961</c:v>
                </c:pt>
                <c:pt idx="9">
                  <c:v>-1476933.4036563635</c:v>
                </c:pt>
                <c:pt idx="10">
                  <c:v>-3427110.8691633344</c:v>
                </c:pt>
                <c:pt idx="11">
                  <c:v>-3563898.786772646</c:v>
                </c:pt>
                <c:pt idx="12">
                  <c:v>-3700130.1231032014</c:v>
                </c:pt>
                <c:pt idx="13">
                  <c:v>-3835821.2703085616</c:v>
                </c:pt>
                <c:pt idx="14">
                  <c:v>-3970988.1904824451</c:v>
                </c:pt>
                <c:pt idx="15">
                  <c:v>-4105646.4253509417</c:v>
                </c:pt>
                <c:pt idx="16">
                  <c:v>-4239811.1058048382</c:v>
                </c:pt>
                <c:pt idx="17">
                  <c:v>-4373496.9612720609</c:v>
                </c:pt>
                <c:pt idx="18">
                  <c:v>-4506718.3289303333</c:v>
                </c:pt>
                <c:pt idx="19">
                  <c:v>-4639489.1627604142</c:v>
                </c:pt>
                <c:pt idx="20">
                  <c:v>-4989744.501960434</c:v>
                </c:pt>
                <c:pt idx="21">
                  <c:v>-5121654.6416010633</c:v>
                </c:pt>
                <c:pt idx="22">
                  <c:v>-5253153.898324497</c:v>
                </c:pt>
                <c:pt idx="23">
                  <c:v>-5384254.7806850672</c:v>
                </c:pt>
                <c:pt idx="24">
                  <c:v>-5514969.4569346905</c:v>
                </c:pt>
                <c:pt idx="25">
                  <c:v>-5645309.7631332129</c:v>
                </c:pt>
                <c:pt idx="26">
                  <c:v>-5775287.2111052126</c:v>
                </c:pt>
                <c:pt idx="27">
                  <c:v>-5904912.9962441772</c:v>
                </c:pt>
                <c:pt idx="28">
                  <c:v>-6034198.005165562</c:v>
                </c:pt>
                <c:pt idx="29">
                  <c:v>-6163152.8232101649</c:v>
                </c:pt>
                <c:pt idx="30">
                  <c:v>-7835190.6898518354</c:v>
                </c:pt>
                <c:pt idx="31">
                  <c:v>-7963515.713694796</c:v>
                </c:pt>
                <c:pt idx="32">
                  <c:v>-8091540.5678531975</c:v>
                </c:pt>
                <c:pt idx="33">
                  <c:v>-8219274.7046597004</c:v>
                </c:pt>
                <c:pt idx="34">
                  <c:v>-8346727.3104959279</c:v>
                </c:pt>
                <c:pt idx="35">
                  <c:v>-8473907.3124300539</c:v>
                </c:pt>
                <c:pt idx="36">
                  <c:v>-8600823.3847161382</c:v>
                </c:pt>
                <c:pt idx="37">
                  <c:v>-8727483.9551567435</c:v>
                </c:pt>
                <c:pt idx="38">
                  <c:v>-8853897.2113310248</c:v>
                </c:pt>
                <c:pt idx="39">
                  <c:v>-8980071.1066898853</c:v>
                </c:pt>
                <c:pt idx="40">
                  <c:v>-9536209.9759297669</c:v>
                </c:pt>
              </c:numCache>
            </c:numRef>
          </c:val>
          <c:extLst>
            <c:ext xmlns:c16="http://schemas.microsoft.com/office/drawing/2014/chart" uri="{C3380CC4-5D6E-409C-BE32-E72D297353CC}">
              <c16:uniqueId val="{00000000-4250-40EC-B162-08A96ECC0949}"/>
            </c:ext>
          </c:extLst>
        </c:ser>
        <c:dLbls>
          <c:showLegendKey val="0"/>
          <c:showVal val="0"/>
          <c:showCatName val="0"/>
          <c:showSerName val="0"/>
          <c:showPercent val="0"/>
          <c:showBubbleSize val="0"/>
        </c:dLbls>
        <c:gapWidth val="150"/>
        <c:axId val="125252352"/>
        <c:axId val="125253888"/>
      </c:barChart>
      <c:catAx>
        <c:axId val="125252352"/>
        <c:scaling>
          <c:orientation val="minMax"/>
        </c:scaling>
        <c:delete val="0"/>
        <c:axPos val="b"/>
        <c:numFmt formatCode="#,##0" sourceLinked="1"/>
        <c:majorTickMark val="out"/>
        <c:minorTickMark val="none"/>
        <c:tickLblPos val="nextTo"/>
        <c:txPr>
          <a:bodyPr/>
          <a:lstStyle/>
          <a:p>
            <a:pPr>
              <a:defRPr sz="700" baseline="0"/>
            </a:pPr>
            <a:endParaRPr lang="nl-NL"/>
          </a:p>
        </c:txPr>
        <c:crossAx val="125253888"/>
        <c:crosses val="autoZero"/>
        <c:auto val="1"/>
        <c:lblAlgn val="ctr"/>
        <c:lblOffset val="100"/>
        <c:noMultiLvlLbl val="0"/>
      </c:catAx>
      <c:valAx>
        <c:axId val="125253888"/>
        <c:scaling>
          <c:orientation val="minMax"/>
        </c:scaling>
        <c:delete val="0"/>
        <c:axPos val="l"/>
        <c:majorGridlines/>
        <c:numFmt formatCode="_ [$€-413]\ * #,##0_ ;_ [$€-413]\ * \-#,##0_ ;_ [$€-413]\ * &quot;-&quot;???_ ;_ @_ " sourceLinked="1"/>
        <c:majorTickMark val="out"/>
        <c:minorTickMark val="none"/>
        <c:tickLblPos val="nextTo"/>
        <c:txPr>
          <a:bodyPr/>
          <a:lstStyle/>
          <a:p>
            <a:pPr>
              <a:defRPr sz="800" baseline="0"/>
            </a:pPr>
            <a:endParaRPr lang="nl-NL"/>
          </a:p>
        </c:txPr>
        <c:crossAx val="125252352"/>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8.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4082</xdr:rowOff>
    </xdr:from>
    <xdr:to>
      <xdr:col>1</xdr:col>
      <xdr:colOff>626482</xdr:colOff>
      <xdr:row>4</xdr:row>
      <xdr:rowOff>208</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94582"/>
          <a:ext cx="525517" cy="532247"/>
        </a:xfrm>
        <a:prstGeom prst="rect">
          <a:avLst/>
        </a:prstGeom>
      </xdr:spPr>
    </xdr:pic>
    <xdr:clientData/>
  </xdr:twoCellAnchor>
  <xdr:twoCellAnchor>
    <xdr:from>
      <xdr:col>1</xdr:col>
      <xdr:colOff>102867</xdr:colOff>
      <xdr:row>12</xdr:row>
      <xdr:rowOff>91440</xdr:rowOff>
    </xdr:from>
    <xdr:to>
      <xdr:col>10</xdr:col>
      <xdr:colOff>735330</xdr:colOff>
      <xdr:row>28</xdr:row>
      <xdr:rowOff>76199</xdr:rowOff>
    </xdr:to>
    <xdr:grpSp>
      <xdr:nvGrpSpPr>
        <xdr:cNvPr id="6" name="Groep 5">
          <a:extLst>
            <a:ext uri="{FF2B5EF4-FFF2-40B4-BE49-F238E27FC236}">
              <a16:creationId xmlns:a16="http://schemas.microsoft.com/office/drawing/2014/main" id="{9B8A9B04-B9B9-4A65-857D-EB0F8CD9CCCC}"/>
            </a:ext>
          </a:extLst>
        </xdr:cNvPr>
        <xdr:cNvGrpSpPr/>
      </xdr:nvGrpSpPr>
      <xdr:grpSpPr>
        <a:xfrm>
          <a:off x="712467" y="2192383"/>
          <a:ext cx="7120349" cy="2771502"/>
          <a:chOff x="0" y="0"/>
          <a:chExt cx="4826801" cy="2329733"/>
        </a:xfrm>
      </xdr:grpSpPr>
      <xdr:grpSp>
        <xdr:nvGrpSpPr>
          <xdr:cNvPr id="7" name="Groep 6">
            <a:extLst>
              <a:ext uri="{FF2B5EF4-FFF2-40B4-BE49-F238E27FC236}">
                <a16:creationId xmlns:a16="http://schemas.microsoft.com/office/drawing/2014/main" id="{EE25330C-54BB-4374-99C9-14D138D44739}"/>
              </a:ext>
            </a:extLst>
          </xdr:cNvPr>
          <xdr:cNvGrpSpPr/>
        </xdr:nvGrpSpPr>
        <xdr:grpSpPr>
          <a:xfrm>
            <a:off x="0" y="0"/>
            <a:ext cx="4826801" cy="2329733"/>
            <a:chOff x="0" y="0"/>
            <a:chExt cx="4826801" cy="2329733"/>
          </a:xfrm>
        </xdr:grpSpPr>
        <xdr:grpSp>
          <xdr:nvGrpSpPr>
            <xdr:cNvPr id="12" name="Groep 11">
              <a:extLst>
                <a:ext uri="{FF2B5EF4-FFF2-40B4-BE49-F238E27FC236}">
                  <a16:creationId xmlns:a16="http://schemas.microsoft.com/office/drawing/2014/main" id="{8DB5FA8D-ED2A-479D-AE0A-E453E0D45839}"/>
                </a:ext>
              </a:extLst>
            </xdr:cNvPr>
            <xdr:cNvGrpSpPr/>
          </xdr:nvGrpSpPr>
          <xdr:grpSpPr>
            <a:xfrm>
              <a:off x="0" y="0"/>
              <a:ext cx="4826801" cy="2329733"/>
              <a:chOff x="0" y="0"/>
              <a:chExt cx="4826801" cy="2329733"/>
            </a:xfrm>
          </xdr:grpSpPr>
          <xdr:grpSp>
            <xdr:nvGrpSpPr>
              <xdr:cNvPr id="14" name="Groep 13">
                <a:extLst>
                  <a:ext uri="{FF2B5EF4-FFF2-40B4-BE49-F238E27FC236}">
                    <a16:creationId xmlns:a16="http://schemas.microsoft.com/office/drawing/2014/main" id="{CAF1CDFF-BB72-4A15-B3A5-7B56C38037EB}"/>
                  </a:ext>
                </a:extLst>
              </xdr:cNvPr>
              <xdr:cNvGrpSpPr/>
            </xdr:nvGrpSpPr>
            <xdr:grpSpPr>
              <a:xfrm>
                <a:off x="1820849" y="771277"/>
                <a:ext cx="1097280" cy="596348"/>
                <a:chOff x="0" y="0"/>
                <a:chExt cx="1097280" cy="596348"/>
              </a:xfrm>
            </xdr:grpSpPr>
            <xdr:sp macro="" textlink="">
              <xdr:nvSpPr>
                <xdr:cNvPr id="33" name="Ovaal 32">
                  <a:extLst>
                    <a:ext uri="{FF2B5EF4-FFF2-40B4-BE49-F238E27FC236}">
                      <a16:creationId xmlns:a16="http://schemas.microsoft.com/office/drawing/2014/main" id="{B87B2848-E075-4B0D-8349-E849FC3F794D}"/>
                    </a:ext>
                  </a:extLst>
                </xdr:cNvPr>
                <xdr:cNvSpPr/>
              </xdr:nvSpPr>
              <xdr:spPr>
                <a:xfrm>
                  <a:off x="0" y="0"/>
                  <a:ext cx="1097280" cy="59634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nl-NL"/>
                </a:p>
              </xdr:txBody>
            </xdr:sp>
            <xdr:sp macro="" textlink="">
              <xdr:nvSpPr>
                <xdr:cNvPr id="34" name="Tekstvak 58">
                  <a:extLst>
                    <a:ext uri="{FF2B5EF4-FFF2-40B4-BE49-F238E27FC236}">
                      <a16:creationId xmlns:a16="http://schemas.microsoft.com/office/drawing/2014/main" id="{37CF6223-D811-47D7-945C-14801676ECC0}"/>
                    </a:ext>
                  </a:extLst>
                </xdr:cNvPr>
                <xdr:cNvSpPr txBox="1"/>
              </xdr:nvSpPr>
              <xdr:spPr>
                <a:xfrm>
                  <a:off x="103367" y="135172"/>
                  <a:ext cx="866140" cy="42100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270"/>
                    </a:lnSpc>
                    <a:spcAft>
                      <a:spcPts val="0"/>
                    </a:spcAft>
                  </a:pPr>
                  <a:r>
                    <a:rPr lang="de-DE" sz="700" b="1">
                      <a:effectLst/>
                      <a:latin typeface="Arial"/>
                      <a:ea typeface="Times New Roman"/>
                      <a:cs typeface="Times New Roman"/>
                    </a:rPr>
                    <a:t>Produktivität</a:t>
                  </a:r>
                  <a:endParaRPr lang="nl-NL" sz="950">
                    <a:effectLst/>
                    <a:latin typeface="Arial"/>
                    <a:ea typeface="Times New Roman"/>
                    <a:cs typeface="Times New Roman"/>
                  </a:endParaRPr>
                </a:p>
              </xdr:txBody>
            </xdr:sp>
          </xdr:grpSp>
          <xdr:grpSp>
            <xdr:nvGrpSpPr>
              <xdr:cNvPr id="15" name="Groep 14">
                <a:extLst>
                  <a:ext uri="{FF2B5EF4-FFF2-40B4-BE49-F238E27FC236}">
                    <a16:creationId xmlns:a16="http://schemas.microsoft.com/office/drawing/2014/main" id="{303E6263-80E2-4B1A-B7C5-A53114324B8D}"/>
                  </a:ext>
                </a:extLst>
              </xdr:cNvPr>
              <xdr:cNvGrpSpPr/>
            </xdr:nvGrpSpPr>
            <xdr:grpSpPr>
              <a:xfrm>
                <a:off x="2679590" y="71562"/>
                <a:ext cx="2147211" cy="818984"/>
                <a:chOff x="0" y="0"/>
                <a:chExt cx="2147211" cy="818984"/>
              </a:xfrm>
            </xdr:grpSpPr>
            <xdr:grpSp>
              <xdr:nvGrpSpPr>
                <xdr:cNvPr id="29" name="Groep 28">
                  <a:extLst>
                    <a:ext uri="{FF2B5EF4-FFF2-40B4-BE49-F238E27FC236}">
                      <a16:creationId xmlns:a16="http://schemas.microsoft.com/office/drawing/2014/main" id="{112E7C3A-0C1E-4DF6-B7DF-87A922586EFD}"/>
                    </a:ext>
                  </a:extLst>
                </xdr:cNvPr>
                <xdr:cNvGrpSpPr/>
              </xdr:nvGrpSpPr>
              <xdr:grpSpPr>
                <a:xfrm>
                  <a:off x="0" y="7951"/>
                  <a:ext cx="1057275" cy="810895"/>
                  <a:chOff x="0" y="0"/>
                  <a:chExt cx="1057275" cy="810895"/>
                </a:xfrm>
              </xdr:grpSpPr>
              <xdr:sp macro="" textlink="">
                <xdr:nvSpPr>
                  <xdr:cNvPr id="31" name="Ovaal 30">
                    <a:extLst>
                      <a:ext uri="{FF2B5EF4-FFF2-40B4-BE49-F238E27FC236}">
                        <a16:creationId xmlns:a16="http://schemas.microsoft.com/office/drawing/2014/main" id="{497AC81E-91CD-40C4-91BD-8D77B3F23A6F}"/>
                      </a:ext>
                    </a:extLst>
                  </xdr:cNvPr>
                  <xdr:cNvSpPr/>
                </xdr:nvSpPr>
                <xdr:spPr>
                  <a:xfrm>
                    <a:off x="111318" y="0"/>
                    <a:ext cx="818515" cy="810895"/>
                  </a:xfrm>
                  <a:prstGeom prst="ellipse">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nl-NL"/>
                  </a:p>
                </xdr:txBody>
              </xdr:sp>
              <xdr:sp macro="" textlink="">
                <xdr:nvSpPr>
                  <xdr:cNvPr id="32" name="Tekstvak 59">
                    <a:extLst>
                      <a:ext uri="{FF2B5EF4-FFF2-40B4-BE49-F238E27FC236}">
                        <a16:creationId xmlns:a16="http://schemas.microsoft.com/office/drawing/2014/main" id="{0503D031-DFD7-4AFD-9325-300B6E9C6EB8}"/>
                      </a:ext>
                    </a:extLst>
                  </xdr:cNvPr>
                  <xdr:cNvSpPr txBox="1"/>
                </xdr:nvSpPr>
                <xdr:spPr>
                  <a:xfrm>
                    <a:off x="0" y="190832"/>
                    <a:ext cx="1057275" cy="42100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270"/>
                      </a:lnSpc>
                      <a:spcAft>
                        <a:spcPts val="0"/>
                      </a:spcAft>
                    </a:pPr>
                    <a:r>
                      <a:rPr lang="nl-NL" sz="700" b="1">
                        <a:effectLst/>
                        <a:latin typeface="Arial"/>
                        <a:ea typeface="Times New Roman"/>
                        <a:cs typeface="Times New Roman"/>
                      </a:rPr>
                      <a:t>Organisatorische</a:t>
                    </a:r>
                  </a:p>
                  <a:p>
                    <a:pPr algn="ctr">
                      <a:lnSpc>
                        <a:spcPts val="1270"/>
                      </a:lnSpc>
                      <a:spcAft>
                        <a:spcPts val="0"/>
                      </a:spcAft>
                    </a:pPr>
                    <a:r>
                      <a:rPr lang="nl-NL" sz="700" b="1">
                        <a:effectLst/>
                        <a:latin typeface="Arial"/>
                        <a:ea typeface="Times New Roman"/>
                        <a:cs typeface="Times New Roman"/>
                      </a:rPr>
                      <a:t> </a:t>
                    </a:r>
                    <a:r>
                      <a:rPr lang="de-DE" sz="700" b="1">
                        <a:effectLst/>
                        <a:latin typeface="Arial"/>
                        <a:ea typeface="Times New Roman"/>
                        <a:cs typeface="Times New Roman"/>
                      </a:rPr>
                      <a:t>Faktoren</a:t>
                    </a:r>
                    <a:endParaRPr lang="nl-NL" sz="950">
                      <a:effectLst/>
                      <a:latin typeface="Arial"/>
                      <a:ea typeface="Times New Roman"/>
                      <a:cs typeface="Times New Roman"/>
                    </a:endParaRPr>
                  </a:p>
                </xdr:txBody>
              </xdr:sp>
            </xdr:grpSp>
            <xdr:sp macro="" textlink="">
              <xdr:nvSpPr>
                <xdr:cNvPr id="30" name="Tekstvak 62">
                  <a:extLst>
                    <a:ext uri="{FF2B5EF4-FFF2-40B4-BE49-F238E27FC236}">
                      <a16:creationId xmlns:a16="http://schemas.microsoft.com/office/drawing/2014/main" id="{2E04FAF8-2667-4C39-8901-9CC1356516D6}"/>
                    </a:ext>
                  </a:extLst>
                </xdr:cNvPr>
                <xdr:cNvSpPr txBox="1"/>
              </xdr:nvSpPr>
              <xdr:spPr>
                <a:xfrm>
                  <a:off x="962107" y="0"/>
                  <a:ext cx="1185104" cy="818984"/>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70"/>
                    </a:lnSpc>
                    <a:spcAft>
                      <a:spcPts val="0"/>
                    </a:spcAft>
                  </a:pPr>
                  <a:r>
                    <a:rPr lang="de-DE" sz="700">
                      <a:effectLst/>
                      <a:latin typeface="Arial"/>
                      <a:ea typeface="Times New Roman"/>
                      <a:cs typeface="Times New Roman"/>
                    </a:rPr>
                    <a:t>- Organisationsstruktur</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Unternehmenskultur</a:t>
                  </a:r>
                </a:p>
                <a:p>
                  <a:pPr>
                    <a:lnSpc>
                      <a:spcPts val="1270"/>
                    </a:lnSpc>
                    <a:spcAft>
                      <a:spcPts val="0"/>
                    </a:spcAft>
                  </a:pPr>
                  <a:r>
                    <a:rPr lang="de-DE" sz="700">
                      <a:effectLst/>
                      <a:latin typeface="Arial"/>
                      <a:ea typeface="Times New Roman"/>
                      <a:cs typeface="Times New Roman"/>
                    </a:rPr>
                    <a:t>- Führungsstile </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Beziehungen mit Kollegen </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Belohnungsstruktur</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a:t>
                  </a:r>
                  <a:endParaRPr lang="nl-NL" sz="950">
                    <a:effectLst/>
                    <a:latin typeface="Arial"/>
                    <a:ea typeface="Times New Roman"/>
                    <a:cs typeface="Times New Roman"/>
                  </a:endParaRPr>
                </a:p>
              </xdr:txBody>
            </xdr:sp>
          </xdr:grpSp>
          <xdr:grpSp>
            <xdr:nvGrpSpPr>
              <xdr:cNvPr id="16" name="Groep 15">
                <a:extLst>
                  <a:ext uri="{FF2B5EF4-FFF2-40B4-BE49-F238E27FC236}">
                    <a16:creationId xmlns:a16="http://schemas.microsoft.com/office/drawing/2014/main" id="{83E28D24-EF32-4230-BE5F-079596AB3347}"/>
                  </a:ext>
                </a:extLst>
              </xdr:cNvPr>
              <xdr:cNvGrpSpPr/>
            </xdr:nvGrpSpPr>
            <xdr:grpSpPr>
              <a:xfrm>
                <a:off x="2757772" y="1168842"/>
                <a:ext cx="2068835" cy="1160891"/>
                <a:chOff x="6621" y="0"/>
                <a:chExt cx="2068835" cy="1160891"/>
              </a:xfrm>
            </xdr:grpSpPr>
            <xdr:grpSp>
              <xdr:nvGrpSpPr>
                <xdr:cNvPr id="25" name="Groep 24">
                  <a:extLst>
                    <a:ext uri="{FF2B5EF4-FFF2-40B4-BE49-F238E27FC236}">
                      <a16:creationId xmlns:a16="http://schemas.microsoft.com/office/drawing/2014/main" id="{AEF33247-BE8F-4F89-B364-0C626C0044A1}"/>
                    </a:ext>
                  </a:extLst>
                </xdr:cNvPr>
                <xdr:cNvGrpSpPr/>
              </xdr:nvGrpSpPr>
              <xdr:grpSpPr>
                <a:xfrm>
                  <a:off x="6621" y="151075"/>
                  <a:ext cx="937895" cy="810895"/>
                  <a:chOff x="6621" y="0"/>
                  <a:chExt cx="937895" cy="810895"/>
                </a:xfrm>
              </xdr:grpSpPr>
              <xdr:sp macro="" textlink="">
                <xdr:nvSpPr>
                  <xdr:cNvPr id="27" name="Ovaal 26">
                    <a:extLst>
                      <a:ext uri="{FF2B5EF4-FFF2-40B4-BE49-F238E27FC236}">
                        <a16:creationId xmlns:a16="http://schemas.microsoft.com/office/drawing/2014/main" id="{A23DADBB-8E8B-4D05-AD49-5316D3DF6881}"/>
                      </a:ext>
                    </a:extLst>
                  </xdr:cNvPr>
                  <xdr:cNvSpPr/>
                </xdr:nvSpPr>
                <xdr:spPr>
                  <a:xfrm>
                    <a:off x="39757" y="0"/>
                    <a:ext cx="818515" cy="810895"/>
                  </a:xfrm>
                  <a:prstGeom prst="ellipse">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nl-NL"/>
                  </a:p>
                </xdr:txBody>
              </xdr:sp>
              <xdr:sp macro="" textlink="">
                <xdr:nvSpPr>
                  <xdr:cNvPr id="28" name="Tekstvak 61">
                    <a:extLst>
                      <a:ext uri="{FF2B5EF4-FFF2-40B4-BE49-F238E27FC236}">
                        <a16:creationId xmlns:a16="http://schemas.microsoft.com/office/drawing/2014/main" id="{C7DE1E52-6F3B-465A-ADBE-6B2F967E448C}"/>
                      </a:ext>
                    </a:extLst>
                  </xdr:cNvPr>
                  <xdr:cNvSpPr txBox="1"/>
                </xdr:nvSpPr>
                <xdr:spPr>
                  <a:xfrm>
                    <a:off x="6621" y="172322"/>
                    <a:ext cx="937895" cy="54822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270"/>
                      </a:lnSpc>
                      <a:spcAft>
                        <a:spcPts val="0"/>
                      </a:spcAft>
                    </a:pPr>
                    <a:r>
                      <a:rPr lang="de-DE" sz="700" b="1">
                        <a:effectLst/>
                        <a:latin typeface="Arial"/>
                        <a:ea typeface="Times New Roman"/>
                        <a:cs typeface="Times New Roman"/>
                      </a:rPr>
                      <a:t>Arbeitsumgebung, Arbeitsmittel</a:t>
                    </a:r>
                    <a:endParaRPr lang="nl-NL" sz="950">
                      <a:effectLst/>
                      <a:latin typeface="Arial"/>
                      <a:ea typeface="Times New Roman"/>
                      <a:cs typeface="Times New Roman"/>
                    </a:endParaRPr>
                  </a:p>
                </xdr:txBody>
              </xdr:sp>
            </xdr:grpSp>
            <xdr:sp macro="" textlink="">
              <xdr:nvSpPr>
                <xdr:cNvPr id="26" name="Tekstvak 63">
                  <a:extLst>
                    <a:ext uri="{FF2B5EF4-FFF2-40B4-BE49-F238E27FC236}">
                      <a16:creationId xmlns:a16="http://schemas.microsoft.com/office/drawing/2014/main" id="{5FBCF20C-1AA9-455F-B08C-8518D3227FC3}"/>
                    </a:ext>
                  </a:extLst>
                </xdr:cNvPr>
                <xdr:cNvSpPr txBox="1"/>
              </xdr:nvSpPr>
              <xdr:spPr>
                <a:xfrm>
                  <a:off x="890546" y="0"/>
                  <a:ext cx="1184910" cy="1160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70"/>
                    </a:lnSpc>
                    <a:spcAft>
                      <a:spcPts val="0"/>
                    </a:spcAft>
                  </a:pPr>
                  <a:r>
                    <a:rPr lang="de-DE" sz="700">
                      <a:effectLst/>
                      <a:latin typeface="Arial"/>
                      <a:ea typeface="Times New Roman"/>
                      <a:cs typeface="Times New Roman"/>
                    </a:rPr>
                    <a:t>- Produktionsmittel</a:t>
                  </a:r>
                </a:p>
                <a:p>
                  <a:pPr>
                    <a:lnSpc>
                      <a:spcPts val="1270"/>
                    </a:lnSpc>
                    <a:spcAft>
                      <a:spcPts val="0"/>
                    </a:spcAft>
                  </a:pPr>
                  <a:r>
                    <a:rPr lang="de-DE" sz="700">
                      <a:effectLst/>
                      <a:latin typeface="Arial"/>
                      <a:ea typeface="Times New Roman"/>
                      <a:cs typeface="Times New Roman"/>
                    </a:rPr>
                    <a:t>- Ergonomisches Mobiliar</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Raumnutzung </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Thermisches Innenraumklima </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Luftqualität</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Lärm, Akustik </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Tageslicht / künstliches Licht</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a:t>
                  </a:r>
                  <a:endParaRPr lang="nl-NL" sz="950">
                    <a:effectLst/>
                    <a:latin typeface="Arial"/>
                    <a:ea typeface="Times New Roman"/>
                    <a:cs typeface="Times New Roman"/>
                  </a:endParaRPr>
                </a:p>
              </xdr:txBody>
            </xdr:sp>
          </xdr:grpSp>
          <xdr:grpSp>
            <xdr:nvGrpSpPr>
              <xdr:cNvPr id="17" name="Groep 16">
                <a:extLst>
                  <a:ext uri="{FF2B5EF4-FFF2-40B4-BE49-F238E27FC236}">
                    <a16:creationId xmlns:a16="http://schemas.microsoft.com/office/drawing/2014/main" id="{D617F9A3-7E34-4254-AFD2-FE0311E2BBD3}"/>
                  </a:ext>
                </a:extLst>
              </xdr:cNvPr>
              <xdr:cNvGrpSpPr/>
            </xdr:nvGrpSpPr>
            <xdr:grpSpPr>
              <a:xfrm>
                <a:off x="63610" y="1304488"/>
                <a:ext cx="1946740" cy="857798"/>
                <a:chOff x="0" y="-15429"/>
                <a:chExt cx="1946740" cy="857798"/>
              </a:xfrm>
            </xdr:grpSpPr>
            <xdr:sp macro="" textlink="">
              <xdr:nvSpPr>
                <xdr:cNvPr id="23" name="Ovaal 22">
                  <a:extLst>
                    <a:ext uri="{FF2B5EF4-FFF2-40B4-BE49-F238E27FC236}">
                      <a16:creationId xmlns:a16="http://schemas.microsoft.com/office/drawing/2014/main" id="{6BA72BBD-99F4-4D49-9555-F238C43F8EEF}"/>
                    </a:ext>
                  </a:extLst>
                </xdr:cNvPr>
                <xdr:cNvSpPr/>
              </xdr:nvSpPr>
              <xdr:spPr>
                <a:xfrm>
                  <a:off x="1127755" y="-15429"/>
                  <a:ext cx="818985" cy="810978"/>
                </a:xfrm>
                <a:prstGeom prst="ellipse">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nl-NL"/>
                </a:p>
              </xdr:txBody>
            </xdr:sp>
            <xdr:sp macro="" textlink="">
              <xdr:nvSpPr>
                <xdr:cNvPr id="24" name="Tekstvak 289">
                  <a:extLst>
                    <a:ext uri="{FF2B5EF4-FFF2-40B4-BE49-F238E27FC236}">
                      <a16:creationId xmlns:a16="http://schemas.microsoft.com/office/drawing/2014/main" id="{49941539-DA40-480C-889A-FCD031091C5E}"/>
                    </a:ext>
                  </a:extLst>
                </xdr:cNvPr>
                <xdr:cNvSpPr txBox="1"/>
              </xdr:nvSpPr>
              <xdr:spPr>
                <a:xfrm>
                  <a:off x="0" y="23854"/>
                  <a:ext cx="1192696" cy="81851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70"/>
                    </a:lnSpc>
                    <a:spcAft>
                      <a:spcPts val="0"/>
                    </a:spcAft>
                  </a:pPr>
                  <a:r>
                    <a:rPr lang="de-DE" sz="700">
                      <a:effectLst/>
                      <a:latin typeface="Arial"/>
                      <a:ea typeface="Times New Roman"/>
                      <a:cs typeface="Times New Roman"/>
                    </a:rPr>
                    <a:t>- Wohlstandsniveau</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nationale Arbeitseinstellung</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lokale Arbeitseinstellung</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a:t>
                  </a:r>
                  <a:endParaRPr lang="nl-NL" sz="950">
                    <a:effectLst/>
                    <a:latin typeface="Arial"/>
                    <a:ea typeface="Times New Roman"/>
                    <a:cs typeface="Times New Roman"/>
                  </a:endParaRPr>
                </a:p>
              </xdr:txBody>
            </xdr:sp>
          </xdr:grpSp>
          <xdr:grpSp>
            <xdr:nvGrpSpPr>
              <xdr:cNvPr id="18" name="Groep 17">
                <a:extLst>
                  <a:ext uri="{FF2B5EF4-FFF2-40B4-BE49-F238E27FC236}">
                    <a16:creationId xmlns:a16="http://schemas.microsoft.com/office/drawing/2014/main" id="{DA7DF251-9B3E-4FEE-BC36-3C1E89938AF7}"/>
                  </a:ext>
                </a:extLst>
              </xdr:cNvPr>
              <xdr:cNvGrpSpPr/>
            </xdr:nvGrpSpPr>
            <xdr:grpSpPr>
              <a:xfrm>
                <a:off x="0" y="0"/>
                <a:ext cx="2003729" cy="890491"/>
                <a:chOff x="0" y="0"/>
                <a:chExt cx="2003729" cy="890491"/>
              </a:xfrm>
            </xdr:grpSpPr>
            <xdr:grpSp>
              <xdr:nvGrpSpPr>
                <xdr:cNvPr id="19" name="Groep 18">
                  <a:extLst>
                    <a:ext uri="{FF2B5EF4-FFF2-40B4-BE49-F238E27FC236}">
                      <a16:creationId xmlns:a16="http://schemas.microsoft.com/office/drawing/2014/main" id="{456A75AB-3D54-449A-95C2-145919EC0B4B}"/>
                    </a:ext>
                  </a:extLst>
                </xdr:cNvPr>
                <xdr:cNvGrpSpPr/>
              </xdr:nvGrpSpPr>
              <xdr:grpSpPr>
                <a:xfrm>
                  <a:off x="1137037" y="79513"/>
                  <a:ext cx="866692" cy="810978"/>
                  <a:chOff x="0" y="0"/>
                  <a:chExt cx="866692" cy="810978"/>
                </a:xfrm>
              </xdr:grpSpPr>
              <xdr:sp macro="" textlink="">
                <xdr:nvSpPr>
                  <xdr:cNvPr id="21" name="Ovaal 20">
                    <a:extLst>
                      <a:ext uri="{FF2B5EF4-FFF2-40B4-BE49-F238E27FC236}">
                        <a16:creationId xmlns:a16="http://schemas.microsoft.com/office/drawing/2014/main" id="{86E9A1F9-28F4-4EDF-8422-A4B4852E4072}"/>
                      </a:ext>
                    </a:extLst>
                  </xdr:cNvPr>
                  <xdr:cNvSpPr/>
                </xdr:nvSpPr>
                <xdr:spPr>
                  <a:xfrm>
                    <a:off x="47707" y="0"/>
                    <a:ext cx="818985" cy="810978"/>
                  </a:xfrm>
                  <a:prstGeom prst="ellipse">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nl-NL"/>
                  </a:p>
                </xdr:txBody>
              </xdr:sp>
              <xdr:sp macro="" textlink="">
                <xdr:nvSpPr>
                  <xdr:cNvPr id="22" name="Tekstvak 56">
                    <a:extLst>
                      <a:ext uri="{FF2B5EF4-FFF2-40B4-BE49-F238E27FC236}">
                        <a16:creationId xmlns:a16="http://schemas.microsoft.com/office/drawing/2014/main" id="{BFA11F40-9A73-4A17-A2D9-04F374058916}"/>
                      </a:ext>
                    </a:extLst>
                  </xdr:cNvPr>
                  <xdr:cNvSpPr txBox="1"/>
                </xdr:nvSpPr>
                <xdr:spPr>
                  <a:xfrm>
                    <a:off x="0" y="151075"/>
                    <a:ext cx="866139" cy="42100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270"/>
                      </a:lnSpc>
                      <a:spcAft>
                        <a:spcPts val="0"/>
                      </a:spcAft>
                    </a:pPr>
                    <a:r>
                      <a:rPr lang="de-DE" sz="700" b="1">
                        <a:effectLst/>
                        <a:latin typeface="Arial"/>
                        <a:ea typeface="Times New Roman"/>
                        <a:cs typeface="Times New Roman"/>
                      </a:rPr>
                      <a:t>Persönliche Faktoren</a:t>
                    </a:r>
                    <a:endParaRPr lang="nl-NL" sz="950">
                      <a:effectLst/>
                      <a:latin typeface="Arial"/>
                      <a:ea typeface="Times New Roman"/>
                      <a:cs typeface="Times New Roman"/>
                    </a:endParaRPr>
                  </a:p>
                </xdr:txBody>
              </xdr:sp>
            </xdr:grpSp>
            <xdr:sp macro="" textlink="">
              <xdr:nvSpPr>
                <xdr:cNvPr id="20" name="Tekstvak 288">
                  <a:extLst>
                    <a:ext uri="{FF2B5EF4-FFF2-40B4-BE49-F238E27FC236}">
                      <a16:creationId xmlns:a16="http://schemas.microsoft.com/office/drawing/2014/main" id="{89599078-A9AA-496D-A6CA-CC5C3FAC8EDC}"/>
                    </a:ext>
                  </a:extLst>
                </xdr:cNvPr>
                <xdr:cNvSpPr txBox="1"/>
              </xdr:nvSpPr>
              <xdr:spPr>
                <a:xfrm>
                  <a:off x="0" y="0"/>
                  <a:ext cx="1184910" cy="81851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70"/>
                    </a:lnSpc>
                    <a:spcAft>
                      <a:spcPts val="0"/>
                    </a:spcAft>
                  </a:pPr>
                  <a:r>
                    <a:rPr lang="de-DE" sz="700">
                      <a:effectLst/>
                      <a:latin typeface="Arial"/>
                      <a:ea typeface="Times New Roman"/>
                      <a:cs typeface="Times New Roman"/>
                    </a:rPr>
                    <a:t>- Persönlichkeit</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Arbeitseinstellung  </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Häusliche Situation </a:t>
                  </a:r>
                  <a:endParaRPr lang="nl-NL" sz="950">
                    <a:effectLst/>
                    <a:latin typeface="Arial"/>
                    <a:ea typeface="Times New Roman"/>
                    <a:cs typeface="Times New Roman"/>
                  </a:endParaRPr>
                </a:p>
                <a:p>
                  <a:pPr>
                    <a:lnSpc>
                      <a:spcPts val="1270"/>
                    </a:lnSpc>
                    <a:spcAft>
                      <a:spcPts val="0"/>
                    </a:spcAft>
                  </a:pPr>
                  <a:r>
                    <a:rPr lang="de-DE" sz="700">
                      <a:effectLst/>
                      <a:latin typeface="Arial"/>
                      <a:ea typeface="Times New Roman"/>
                      <a:cs typeface="Times New Roman"/>
                    </a:rPr>
                    <a:t>- ...</a:t>
                  </a:r>
                  <a:endParaRPr lang="nl-NL" sz="950">
                    <a:effectLst/>
                    <a:latin typeface="Arial"/>
                    <a:ea typeface="Times New Roman"/>
                    <a:cs typeface="Times New Roman"/>
                  </a:endParaRPr>
                </a:p>
              </xdr:txBody>
            </xdr:sp>
          </xdr:grpSp>
        </xdr:grpSp>
        <xdr:sp macro="" textlink="">
          <xdr:nvSpPr>
            <xdr:cNvPr id="13" name="Tekstvak 60">
              <a:extLst>
                <a:ext uri="{FF2B5EF4-FFF2-40B4-BE49-F238E27FC236}">
                  <a16:creationId xmlns:a16="http://schemas.microsoft.com/office/drawing/2014/main" id="{CF97F201-0817-42C7-B192-F07A2906C5F5}"/>
                </a:ext>
              </a:extLst>
            </xdr:cNvPr>
            <xdr:cNvSpPr txBox="1"/>
          </xdr:nvSpPr>
          <xdr:spPr>
            <a:xfrm>
              <a:off x="1184744" y="1611034"/>
              <a:ext cx="866140" cy="42100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1270"/>
                </a:lnSpc>
                <a:spcAft>
                  <a:spcPts val="0"/>
                </a:spcAft>
              </a:pPr>
              <a:r>
                <a:rPr lang="de-DE" sz="700" b="1">
                  <a:effectLst/>
                  <a:latin typeface="Arial"/>
                  <a:ea typeface="Times New Roman"/>
                  <a:cs typeface="Times New Roman"/>
                </a:rPr>
                <a:t>Soziale Faktoren</a:t>
              </a:r>
              <a:endParaRPr lang="nl-NL" sz="950">
                <a:effectLst/>
                <a:latin typeface="Arial"/>
                <a:ea typeface="Times New Roman"/>
                <a:cs typeface="Times New Roman"/>
              </a:endParaRPr>
            </a:p>
          </xdr:txBody>
        </xdr:sp>
      </xdr:grpSp>
      <xdr:cxnSp macro="">
        <xdr:nvCxnSpPr>
          <xdr:cNvPr id="8" name="Rechte verbindingslijn met pijl 7">
            <a:extLst>
              <a:ext uri="{FF2B5EF4-FFF2-40B4-BE49-F238E27FC236}">
                <a16:creationId xmlns:a16="http://schemas.microsoft.com/office/drawing/2014/main" id="{337147E4-0F67-48C3-B3E2-09EEFC16B082}"/>
              </a:ext>
            </a:extLst>
          </xdr:cNvPr>
          <xdr:cNvCxnSpPr/>
        </xdr:nvCxnSpPr>
        <xdr:spPr>
          <a:xfrm>
            <a:off x="1820849" y="683812"/>
            <a:ext cx="278358" cy="215048"/>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xnSp macro="">
        <xdr:nvCxnSpPr>
          <xdr:cNvPr id="9" name="Rechte verbindingslijn met pijl 8">
            <a:extLst>
              <a:ext uri="{FF2B5EF4-FFF2-40B4-BE49-F238E27FC236}">
                <a16:creationId xmlns:a16="http://schemas.microsoft.com/office/drawing/2014/main" id="{5831F410-E852-4A12-A908-3DEC8DF5FC19}"/>
              </a:ext>
            </a:extLst>
          </xdr:cNvPr>
          <xdr:cNvCxnSpPr/>
        </xdr:nvCxnSpPr>
        <xdr:spPr>
          <a:xfrm flipH="1">
            <a:off x="2679590" y="691763"/>
            <a:ext cx="238631" cy="262393"/>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xnSp macro="">
        <xdr:nvCxnSpPr>
          <xdr:cNvPr id="10" name="Rechte verbindingslijn met pijl 9">
            <a:extLst>
              <a:ext uri="{FF2B5EF4-FFF2-40B4-BE49-F238E27FC236}">
                <a16:creationId xmlns:a16="http://schemas.microsoft.com/office/drawing/2014/main" id="{10D6AD7E-8D4D-4771-852A-6C845AD20383}"/>
              </a:ext>
            </a:extLst>
          </xdr:cNvPr>
          <xdr:cNvCxnSpPr/>
        </xdr:nvCxnSpPr>
        <xdr:spPr>
          <a:xfrm flipH="1" flipV="1">
            <a:off x="2751151" y="1208598"/>
            <a:ext cx="246656" cy="190887"/>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xnSp macro="">
        <xdr:nvCxnSpPr>
          <xdr:cNvPr id="11" name="Rechte verbindingslijn met pijl 10">
            <a:extLst>
              <a:ext uri="{FF2B5EF4-FFF2-40B4-BE49-F238E27FC236}">
                <a16:creationId xmlns:a16="http://schemas.microsoft.com/office/drawing/2014/main" id="{AB56139C-4C7F-426F-A2C6-1616E3794DAA}"/>
              </a:ext>
            </a:extLst>
          </xdr:cNvPr>
          <xdr:cNvCxnSpPr/>
        </xdr:nvCxnSpPr>
        <xdr:spPr>
          <a:xfrm flipV="1">
            <a:off x="1725433" y="1144989"/>
            <a:ext cx="246490" cy="333954"/>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91109</xdr:colOff>
      <xdr:row>1</xdr:row>
      <xdr:rowOff>11122</xdr:rowOff>
    </xdr:from>
    <xdr:to>
      <xdr:col>1</xdr:col>
      <xdr:colOff>629961</xdr:colOff>
      <xdr:row>4</xdr:row>
      <xdr:rowOff>3032</xdr:rowOff>
    </xdr:to>
    <xdr:pic>
      <xdr:nvPicPr>
        <xdr:cNvPr id="5" name="Afbeelding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380" y="201622"/>
          <a:ext cx="525517" cy="5234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107674</xdr:colOff>
      <xdr:row>1</xdr:row>
      <xdr:rowOff>9995</xdr:rowOff>
    </xdr:from>
    <xdr:to>
      <xdr:col>1</xdr:col>
      <xdr:colOff>625571</xdr:colOff>
      <xdr:row>4</xdr:row>
      <xdr:rowOff>19114</xdr:rowOff>
    </xdr:to>
    <xdr:pic>
      <xdr:nvPicPr>
        <xdr:cNvPr id="8" name="Afbeelding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881" y="193926"/>
          <a:ext cx="525517" cy="5363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315982</xdr:colOff>
      <xdr:row>7</xdr:row>
      <xdr:rowOff>106846</xdr:rowOff>
    </xdr:from>
    <xdr:to>
      <xdr:col>8</xdr:col>
      <xdr:colOff>400050</xdr:colOff>
      <xdr:row>25</xdr:row>
      <xdr:rowOff>132024</xdr:rowOff>
    </xdr:to>
    <xdr:graphicFrame macro="">
      <xdr:nvGraphicFramePr>
        <xdr:cNvPr id="2" name="Grafiek 1" title="Vergelijk Electrische Boiler versus Zonneboiler">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26</xdr:row>
      <xdr:rowOff>114300</xdr:rowOff>
    </xdr:from>
    <xdr:to>
      <xdr:col>8</xdr:col>
      <xdr:colOff>410142</xdr:colOff>
      <xdr:row>44</xdr:row>
      <xdr:rowOff>136554</xdr:rowOff>
    </xdr:to>
    <xdr:graphicFrame macro="">
      <xdr:nvGraphicFramePr>
        <xdr:cNvPr id="3" name="Grafiek 2" title="Vergelijk Electrische Boiler versus Zonneboiler">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560854</xdr:colOff>
      <xdr:row>26</xdr:row>
      <xdr:rowOff>95250</xdr:rowOff>
    </xdr:from>
    <xdr:to>
      <xdr:col>14</xdr:col>
      <xdr:colOff>933075</xdr:colOff>
      <xdr:row>44</xdr:row>
      <xdr:rowOff>120428</xdr:rowOff>
    </xdr:to>
    <xdr:graphicFrame macro="">
      <xdr:nvGraphicFramePr>
        <xdr:cNvPr id="4" name="Grafiek 3" title="Vergelijk Electrische Boiler versus Zonneboiler">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105103</xdr:colOff>
      <xdr:row>1</xdr:row>
      <xdr:rowOff>12482</xdr:rowOff>
    </xdr:from>
    <xdr:to>
      <xdr:col>2</xdr:col>
      <xdr:colOff>626810</xdr:colOff>
      <xdr:row>4</xdr:row>
      <xdr:rowOff>586</xdr:rowOff>
    </xdr:to>
    <xdr:pic>
      <xdr:nvPicPr>
        <xdr:cNvPr id="8" name="Afbeelding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6310" y="196413"/>
          <a:ext cx="525517" cy="531226"/>
        </a:xfrm>
        <a:prstGeom prst="rect">
          <a:avLst/>
        </a:prstGeom>
      </xdr:spPr>
    </xdr:pic>
    <xdr:clientData/>
  </xdr:twoCellAnchor>
  <xdr:twoCellAnchor>
    <xdr:from>
      <xdr:col>8</xdr:col>
      <xdr:colOff>585107</xdr:colOff>
      <xdr:row>7</xdr:row>
      <xdr:rowOff>95250</xdr:rowOff>
    </xdr:from>
    <xdr:to>
      <xdr:col>14</xdr:col>
      <xdr:colOff>957328</xdr:colOff>
      <xdr:row>25</xdr:row>
      <xdr:rowOff>120428</xdr:rowOff>
    </xdr:to>
    <xdr:graphicFrame macro="">
      <xdr:nvGraphicFramePr>
        <xdr:cNvPr id="6" name="Grafiek 5" title="Vergelijk Electrische Boiler versus Zonneboiler">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315982</xdr:colOff>
      <xdr:row>21</xdr:row>
      <xdr:rowOff>106846</xdr:rowOff>
    </xdr:from>
    <xdr:to>
      <xdr:col>8</xdr:col>
      <xdr:colOff>400050</xdr:colOff>
      <xdr:row>39</xdr:row>
      <xdr:rowOff>132024</xdr:rowOff>
    </xdr:to>
    <xdr:graphicFrame macro="">
      <xdr:nvGraphicFramePr>
        <xdr:cNvPr id="2" name="Grafiek 1" title="Vergelijk Electrische Boiler versus Zonneboiler">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306456</xdr:colOff>
      <xdr:row>44</xdr:row>
      <xdr:rowOff>91109</xdr:rowOff>
    </xdr:from>
    <xdr:to>
      <xdr:col>8</xdr:col>
      <xdr:colOff>410141</xdr:colOff>
      <xdr:row>62</xdr:row>
      <xdr:rowOff>136554</xdr:rowOff>
    </xdr:to>
    <xdr:graphicFrame macro="">
      <xdr:nvGraphicFramePr>
        <xdr:cNvPr id="3" name="Grafiek 2" title="Vergelijk Electrische Boiler versus Zonneboiler">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560854</xdr:colOff>
      <xdr:row>44</xdr:row>
      <xdr:rowOff>95250</xdr:rowOff>
    </xdr:from>
    <xdr:to>
      <xdr:col>14</xdr:col>
      <xdr:colOff>933075</xdr:colOff>
      <xdr:row>62</xdr:row>
      <xdr:rowOff>120428</xdr:rowOff>
    </xdr:to>
    <xdr:graphicFrame macro="">
      <xdr:nvGraphicFramePr>
        <xdr:cNvPr id="4" name="Grafiek 3" title="Vergelijk Electrische Boiler versus Zonneboiler">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105103</xdr:colOff>
      <xdr:row>1</xdr:row>
      <xdr:rowOff>12482</xdr:rowOff>
    </xdr:from>
    <xdr:to>
      <xdr:col>2</xdr:col>
      <xdr:colOff>630620</xdr:colOff>
      <xdr:row>4</xdr:row>
      <xdr:rowOff>2664</xdr:rowOff>
    </xdr:to>
    <xdr:pic>
      <xdr:nvPicPr>
        <xdr:cNvPr id="5" name="Afbeelding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5653" y="193457"/>
          <a:ext cx="525517" cy="525314"/>
        </a:xfrm>
        <a:prstGeom prst="rect">
          <a:avLst/>
        </a:prstGeom>
      </xdr:spPr>
    </xdr:pic>
    <xdr:clientData/>
  </xdr:twoCellAnchor>
  <xdr:twoCellAnchor>
    <xdr:from>
      <xdr:col>8</xdr:col>
      <xdr:colOff>585107</xdr:colOff>
      <xdr:row>21</xdr:row>
      <xdr:rowOff>95250</xdr:rowOff>
    </xdr:from>
    <xdr:to>
      <xdr:col>14</xdr:col>
      <xdr:colOff>957328</xdr:colOff>
      <xdr:row>39</xdr:row>
      <xdr:rowOff>120428</xdr:rowOff>
    </xdr:to>
    <xdr:graphicFrame macro="">
      <xdr:nvGraphicFramePr>
        <xdr:cNvPr id="6" name="Grafiek 5" title="Vergelijk Electrische Boiler versus Zonneboiler">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showGridLines="0" zoomScale="70" zoomScaleNormal="70" workbookViewId="0">
      <selection activeCell="R14" sqref="R14"/>
    </sheetView>
  </sheetViews>
  <sheetFormatPr defaultColWidth="8.88671875" defaultRowHeight="13.8" outlineLevelCol="1" x14ac:dyDescent="0.3"/>
  <cols>
    <col min="1" max="1" width="8.88671875" style="98"/>
    <col min="2" max="2" width="10.6640625" style="98" customWidth="1"/>
    <col min="3" max="3" width="18" style="98" customWidth="1"/>
    <col min="4" max="4" width="10.6640625" style="98" customWidth="1"/>
    <col min="5" max="5" width="4.44140625" style="98" customWidth="1"/>
    <col min="6" max="6" width="10.5546875" style="98" customWidth="1"/>
    <col min="7" max="7" width="13.109375" style="98" customWidth="1"/>
    <col min="8" max="8" width="10" style="98" customWidth="1"/>
    <col min="9" max="9" width="6.44140625" style="98" customWidth="1"/>
    <col min="10" max="10" width="10.6640625" style="98" customWidth="1"/>
    <col min="11" max="11" width="12.44140625" style="98" customWidth="1"/>
    <col min="12" max="12" width="13.6640625" style="98" hidden="1" customWidth="1" outlineLevel="1"/>
    <col min="13" max="13" width="26.5546875" style="103" customWidth="1" collapsed="1"/>
    <col min="14" max="14" width="19.88671875" style="98" customWidth="1"/>
    <col min="15" max="15" width="19.44140625" style="98" customWidth="1"/>
    <col min="16" max="23" width="8.88671875" style="98"/>
    <col min="24" max="24" width="11.33203125" style="98" bestFit="1" customWidth="1"/>
    <col min="25" max="16384" width="8.88671875" style="98"/>
  </cols>
  <sheetData>
    <row r="1" spans="1:15" ht="14.4" x14ac:dyDescent="0.3">
      <c r="B1" s="99"/>
      <c r="C1" s="100"/>
      <c r="D1" s="101"/>
      <c r="E1" s="100"/>
      <c r="F1" s="101"/>
      <c r="G1" s="101"/>
      <c r="H1" s="101"/>
      <c r="I1" s="102"/>
      <c r="J1" s="102"/>
      <c r="O1" s="104"/>
    </row>
    <row r="2" spans="1:15" x14ac:dyDescent="0.3">
      <c r="A2" s="41"/>
      <c r="B2" s="5"/>
      <c r="C2" s="76" t="s">
        <v>54</v>
      </c>
      <c r="D2" s="34" t="s">
        <v>55</v>
      </c>
      <c r="E2" s="34"/>
      <c r="F2" s="34"/>
      <c r="G2" s="34"/>
      <c r="H2" s="34"/>
      <c r="I2" s="34"/>
      <c r="J2" s="34"/>
      <c r="K2" s="34"/>
      <c r="L2" s="34"/>
      <c r="M2" s="105" t="s">
        <v>56</v>
      </c>
      <c r="N2" s="106" t="s">
        <v>57</v>
      </c>
      <c r="O2" s="144"/>
    </row>
    <row r="3" spans="1:15" x14ac:dyDescent="0.3">
      <c r="A3" s="41"/>
      <c r="B3" s="8"/>
      <c r="C3" s="77" t="s">
        <v>58</v>
      </c>
      <c r="D3" s="375">
        <v>16343801</v>
      </c>
      <c r="E3" s="107"/>
      <c r="F3" s="107"/>
      <c r="G3" s="107"/>
      <c r="H3" s="107"/>
      <c r="I3" s="10"/>
      <c r="J3" s="107"/>
      <c r="K3" s="107"/>
      <c r="L3" s="107"/>
      <c r="M3" s="108" t="s">
        <v>59</v>
      </c>
      <c r="N3" s="109" t="s">
        <v>52</v>
      </c>
    </row>
    <row r="4" spans="1:15" x14ac:dyDescent="0.3">
      <c r="A4" s="41"/>
      <c r="B4" s="12"/>
      <c r="C4" s="78" t="s">
        <v>60</v>
      </c>
      <c r="D4" s="14" t="s">
        <v>61</v>
      </c>
      <c r="E4" s="14"/>
      <c r="F4" s="14"/>
      <c r="G4" s="14"/>
      <c r="H4" s="14"/>
      <c r="I4" s="14"/>
      <c r="J4" s="14"/>
      <c r="K4" s="14"/>
      <c r="L4" s="14"/>
      <c r="M4" s="110" t="s">
        <v>0</v>
      </c>
      <c r="N4" s="111">
        <v>43755</v>
      </c>
    </row>
    <row r="5" spans="1:15" s="114" customFormat="1" x14ac:dyDescent="0.3">
      <c r="A5" s="41"/>
      <c r="B5" s="29"/>
      <c r="C5" s="41"/>
      <c r="D5" s="41"/>
      <c r="E5" s="41"/>
      <c r="F5" s="41"/>
      <c r="G5" s="41"/>
      <c r="H5" s="41"/>
      <c r="I5" s="41"/>
      <c r="J5" s="41"/>
      <c r="K5" s="41"/>
      <c r="L5" s="41"/>
      <c r="M5" s="112"/>
      <c r="N5" s="113"/>
    </row>
    <row r="6" spans="1:15" x14ac:dyDescent="0.3">
      <c r="A6" s="41"/>
      <c r="B6" s="115"/>
      <c r="C6" s="51" t="s">
        <v>62</v>
      </c>
      <c r="D6" s="43"/>
      <c r="E6" s="43"/>
      <c r="F6" s="43"/>
      <c r="G6" s="43"/>
      <c r="H6" s="43"/>
      <c r="I6" s="43"/>
      <c r="J6" s="43"/>
      <c r="K6" s="43"/>
      <c r="L6" s="43"/>
      <c r="M6" s="43"/>
      <c r="N6" s="116"/>
    </row>
    <row r="7" spans="1:15" x14ac:dyDescent="0.3">
      <c r="A7" s="41"/>
      <c r="B7" s="52" t="s">
        <v>63</v>
      </c>
      <c r="C7" s="52"/>
      <c r="D7" s="52"/>
      <c r="E7" s="52"/>
      <c r="F7" s="52"/>
      <c r="G7" s="52"/>
      <c r="H7" s="52"/>
      <c r="I7" s="52"/>
      <c r="J7" s="52"/>
      <c r="K7" s="52"/>
      <c r="L7" s="52"/>
      <c r="M7" s="52"/>
      <c r="N7" s="117"/>
    </row>
    <row r="8" spans="1:15" x14ac:dyDescent="0.3">
      <c r="A8" s="41"/>
      <c r="B8" s="52" t="s">
        <v>64</v>
      </c>
      <c r="C8" s="52"/>
      <c r="D8" s="52"/>
      <c r="E8" s="52"/>
      <c r="F8" s="52"/>
      <c r="G8" s="52"/>
      <c r="H8" s="52"/>
      <c r="I8" s="52"/>
      <c r="J8" s="52"/>
      <c r="K8" s="52"/>
      <c r="L8" s="52"/>
      <c r="M8" s="41"/>
      <c r="N8" s="117"/>
    </row>
    <row r="9" spans="1:15" x14ac:dyDescent="0.3">
      <c r="A9" s="41"/>
      <c r="B9" s="52" t="s">
        <v>221</v>
      </c>
      <c r="C9" s="52"/>
      <c r="D9" s="52"/>
      <c r="E9" s="52"/>
      <c r="F9" s="52"/>
      <c r="G9" s="52"/>
      <c r="H9" s="52"/>
      <c r="I9" s="52"/>
      <c r="J9" s="52"/>
      <c r="K9" s="52"/>
      <c r="L9" s="52"/>
      <c r="M9" s="41"/>
      <c r="N9" s="117"/>
    </row>
    <row r="10" spans="1:15" x14ac:dyDescent="0.3">
      <c r="A10" s="41"/>
      <c r="B10" s="52" t="s">
        <v>65</v>
      </c>
      <c r="C10" s="52"/>
      <c r="D10" s="52"/>
      <c r="E10" s="52"/>
      <c r="F10" s="52"/>
      <c r="G10" s="52"/>
      <c r="H10" s="52"/>
      <c r="I10" s="52"/>
      <c r="J10" s="52"/>
      <c r="K10" s="52"/>
      <c r="L10" s="52"/>
      <c r="M10" s="52"/>
      <c r="N10" s="117"/>
    </row>
    <row r="11" spans="1:15" x14ac:dyDescent="0.3">
      <c r="A11" s="41"/>
      <c r="B11" s="411" t="s">
        <v>216</v>
      </c>
      <c r="C11" s="52"/>
      <c r="D11" s="52"/>
      <c r="E11" s="52"/>
      <c r="F11" s="52"/>
      <c r="G11" s="52"/>
      <c r="H11" s="52"/>
      <c r="I11" s="52"/>
      <c r="J11" s="52"/>
      <c r="K11" s="52"/>
      <c r="L11" s="52"/>
      <c r="M11" s="41"/>
      <c r="N11" s="117"/>
    </row>
    <row r="12" spans="1:15" x14ac:dyDescent="0.3">
      <c r="B12" s="408"/>
      <c r="C12" s="409"/>
      <c r="D12" s="41"/>
      <c r="E12" s="41"/>
      <c r="F12" s="41"/>
      <c r="G12" s="41"/>
      <c r="H12" s="41"/>
      <c r="I12" s="41"/>
      <c r="J12" s="41"/>
      <c r="K12" s="41"/>
      <c r="L12" s="41"/>
      <c r="M12" s="41"/>
      <c r="N12" s="152"/>
    </row>
    <row r="13" spans="1:15" x14ac:dyDescent="0.3">
      <c r="B13" s="146"/>
      <c r="C13" s="120"/>
      <c r="D13" s="120"/>
      <c r="E13" s="120"/>
      <c r="F13" s="120"/>
      <c r="G13" s="120"/>
      <c r="H13" s="120"/>
      <c r="I13" s="120"/>
      <c r="J13" s="120"/>
      <c r="K13" s="120"/>
      <c r="L13" s="120"/>
      <c r="M13" s="216"/>
      <c r="N13" s="152"/>
    </row>
    <row r="14" spans="1:15" x14ac:dyDescent="0.3">
      <c r="B14" s="146"/>
      <c r="C14" s="120"/>
      <c r="D14" s="120"/>
      <c r="E14" s="120"/>
      <c r="F14" s="120"/>
      <c r="G14" s="120"/>
      <c r="H14" s="120"/>
      <c r="I14" s="120"/>
      <c r="J14" s="120"/>
      <c r="K14" s="120"/>
      <c r="L14" s="120"/>
      <c r="M14" s="216"/>
      <c r="N14" s="152"/>
    </row>
    <row r="15" spans="1:15" x14ac:dyDescent="0.3">
      <c r="B15" s="146"/>
      <c r="C15" s="120"/>
      <c r="D15" s="120"/>
      <c r="E15" s="120"/>
      <c r="F15" s="120"/>
      <c r="G15" s="120"/>
      <c r="H15" s="120"/>
      <c r="I15" s="120"/>
      <c r="J15" s="120"/>
      <c r="K15" s="120"/>
      <c r="L15" s="120"/>
      <c r="M15" s="216"/>
      <c r="N15" s="152"/>
    </row>
    <row r="16" spans="1:15" x14ac:dyDescent="0.3">
      <c r="B16" s="146"/>
      <c r="C16" s="120"/>
      <c r="D16" s="120"/>
      <c r="E16" s="120"/>
      <c r="F16" s="120"/>
      <c r="G16" s="120"/>
      <c r="H16" s="120"/>
      <c r="I16" s="120"/>
      <c r="J16" s="120"/>
      <c r="K16" s="120"/>
      <c r="L16" s="120"/>
      <c r="M16" s="216"/>
      <c r="N16" s="152"/>
    </row>
    <row r="17" spans="2:16" x14ac:dyDescent="0.3">
      <c r="B17" s="146"/>
      <c r="C17" s="120"/>
      <c r="D17" s="120"/>
      <c r="E17" s="120"/>
      <c r="F17" s="120"/>
      <c r="G17" s="120"/>
      <c r="H17" s="120"/>
      <c r="I17" s="120"/>
      <c r="J17" s="120"/>
      <c r="K17" s="120"/>
      <c r="L17" s="120"/>
      <c r="M17" s="216"/>
      <c r="N17" s="152"/>
    </row>
    <row r="18" spans="2:16" x14ac:dyDescent="0.3">
      <c r="B18" s="146"/>
      <c r="C18" s="120"/>
      <c r="D18" s="120"/>
      <c r="E18" s="120"/>
      <c r="F18" s="120"/>
      <c r="G18" s="120"/>
      <c r="H18" s="120"/>
      <c r="I18" s="120"/>
      <c r="J18" s="120"/>
      <c r="K18" s="120"/>
      <c r="L18" s="120"/>
      <c r="M18" s="216"/>
      <c r="N18" s="152"/>
    </row>
    <row r="19" spans="2:16" x14ac:dyDescent="0.3">
      <c r="B19" s="146"/>
      <c r="C19" s="120"/>
      <c r="D19" s="120"/>
      <c r="E19" s="120"/>
      <c r="F19" s="120"/>
      <c r="G19" s="120"/>
      <c r="H19" s="120"/>
      <c r="I19" s="120"/>
      <c r="J19" s="120"/>
      <c r="K19" s="120"/>
      <c r="L19" s="120"/>
      <c r="M19" s="216"/>
      <c r="N19" s="152"/>
    </row>
    <row r="20" spans="2:16" x14ac:dyDescent="0.3">
      <c r="B20" s="146"/>
      <c r="C20" s="120"/>
      <c r="D20" s="120"/>
      <c r="E20" s="120"/>
      <c r="F20" s="120"/>
      <c r="G20" s="120"/>
      <c r="H20" s="120"/>
      <c r="I20" s="120"/>
      <c r="J20" s="120"/>
      <c r="K20" s="120"/>
      <c r="L20" s="120"/>
      <c r="M20" s="216"/>
      <c r="N20" s="152"/>
      <c r="O20" s="114"/>
      <c r="P20" s="120"/>
    </row>
    <row r="21" spans="2:16" x14ac:dyDescent="0.3">
      <c r="B21" s="146"/>
      <c r="C21" s="120"/>
      <c r="D21" s="120"/>
      <c r="E21" s="120"/>
      <c r="F21" s="120"/>
      <c r="G21" s="120"/>
      <c r="H21" s="120"/>
      <c r="I21" s="120"/>
      <c r="J21" s="120"/>
      <c r="K21" s="120"/>
      <c r="L21" s="120"/>
      <c r="M21" s="216"/>
      <c r="N21" s="152"/>
      <c r="O21" s="114"/>
    </row>
    <row r="22" spans="2:16" x14ac:dyDescent="0.3">
      <c r="B22" s="146"/>
      <c r="C22" s="120"/>
      <c r="D22" s="120"/>
      <c r="E22" s="120"/>
      <c r="F22" s="120"/>
      <c r="G22" s="120"/>
      <c r="H22" s="120"/>
      <c r="I22" s="120"/>
      <c r="J22" s="120"/>
      <c r="K22" s="120"/>
      <c r="L22" s="120"/>
      <c r="M22" s="216"/>
      <c r="N22" s="152"/>
      <c r="O22" s="114"/>
    </row>
    <row r="23" spans="2:16" x14ac:dyDescent="0.3">
      <c r="B23" s="146"/>
      <c r="C23" s="120"/>
      <c r="D23" s="120"/>
      <c r="E23" s="120"/>
      <c r="F23" s="120"/>
      <c r="G23" s="120"/>
      <c r="H23" s="120"/>
      <c r="I23" s="120"/>
      <c r="J23" s="120"/>
      <c r="K23" s="120"/>
      <c r="L23" s="120"/>
      <c r="M23" s="216"/>
      <c r="N23" s="152"/>
      <c r="O23" s="114"/>
    </row>
    <row r="24" spans="2:16" x14ac:dyDescent="0.3">
      <c r="B24" s="146"/>
      <c r="C24" s="120"/>
      <c r="D24" s="120"/>
      <c r="E24" s="120"/>
      <c r="F24" s="120"/>
      <c r="G24" s="120"/>
      <c r="H24" s="120"/>
      <c r="I24" s="120"/>
      <c r="J24" s="120"/>
      <c r="K24" s="120"/>
      <c r="L24" s="120"/>
      <c r="M24" s="216"/>
      <c r="N24" s="152"/>
      <c r="O24" s="114"/>
    </row>
    <row r="25" spans="2:16" x14ac:dyDescent="0.3">
      <c r="B25" s="146"/>
      <c r="C25" s="120"/>
      <c r="D25" s="120"/>
      <c r="E25" s="120"/>
      <c r="F25" s="120"/>
      <c r="G25" s="120"/>
      <c r="H25" s="120"/>
      <c r="I25" s="120"/>
      <c r="J25" s="120"/>
      <c r="K25" s="120"/>
      <c r="L25" s="120"/>
      <c r="M25" s="216"/>
      <c r="N25" s="152"/>
      <c r="O25" s="114"/>
    </row>
    <row r="26" spans="2:16" x14ac:dyDescent="0.3">
      <c r="B26" s="146"/>
      <c r="C26" s="120"/>
      <c r="D26" s="120"/>
      <c r="E26" s="120"/>
      <c r="F26" s="120"/>
      <c r="G26" s="120"/>
      <c r="H26" s="120"/>
      <c r="I26" s="120"/>
      <c r="J26" s="120"/>
      <c r="K26" s="120"/>
      <c r="L26" s="120"/>
      <c r="M26" s="216"/>
      <c r="N26" s="152"/>
      <c r="O26" s="114"/>
    </row>
    <row r="27" spans="2:16" x14ac:dyDescent="0.3">
      <c r="B27" s="146"/>
      <c r="C27" s="120"/>
      <c r="D27" s="120"/>
      <c r="E27" s="120"/>
      <c r="F27" s="120"/>
      <c r="G27" s="120"/>
      <c r="H27" s="120"/>
      <c r="I27" s="120"/>
      <c r="J27" s="120"/>
      <c r="K27" s="120"/>
      <c r="L27" s="120"/>
      <c r="M27" s="216"/>
      <c r="N27" s="152"/>
      <c r="O27" s="114"/>
    </row>
    <row r="28" spans="2:16" x14ac:dyDescent="0.3">
      <c r="B28" s="146"/>
      <c r="C28" s="120"/>
      <c r="D28" s="120"/>
      <c r="E28" s="120"/>
      <c r="F28" s="120"/>
      <c r="G28" s="120"/>
      <c r="H28" s="120"/>
      <c r="I28" s="120"/>
      <c r="J28" s="120"/>
      <c r="K28" s="120"/>
      <c r="L28" s="120"/>
      <c r="M28" s="216"/>
      <c r="N28" s="152"/>
    </row>
    <row r="29" spans="2:16" x14ac:dyDescent="0.3">
      <c r="B29" s="213"/>
      <c r="C29" s="119"/>
      <c r="D29" s="119"/>
      <c r="E29" s="119"/>
      <c r="F29" s="119"/>
      <c r="G29" s="119"/>
      <c r="H29" s="119"/>
      <c r="I29" s="119"/>
      <c r="J29" s="119"/>
      <c r="K29" s="119"/>
      <c r="L29" s="119"/>
      <c r="M29" s="457"/>
      <c r="N29" s="458"/>
    </row>
    <row r="30" spans="2:16" x14ac:dyDescent="0.3">
      <c r="B30" s="114"/>
      <c r="C30" s="114"/>
      <c r="D30" s="114"/>
      <c r="E30" s="114"/>
      <c r="F30" s="114"/>
      <c r="G30" s="114"/>
      <c r="H30" s="114"/>
      <c r="I30" s="114"/>
      <c r="J30" s="114"/>
      <c r="K30" s="114"/>
      <c r="L30" s="114"/>
      <c r="M30" s="121"/>
    </row>
    <row r="31" spans="2:16" s="114" customFormat="1" x14ac:dyDescent="0.3">
      <c r="B31" s="98"/>
      <c r="C31" s="98"/>
      <c r="D31" s="98"/>
      <c r="E31" s="98"/>
      <c r="F31" s="98"/>
      <c r="G31" s="98"/>
      <c r="H31" s="98"/>
      <c r="I31" s="98"/>
      <c r="J31" s="98"/>
      <c r="K31" s="98"/>
      <c r="L31" s="98"/>
      <c r="M31" s="103"/>
    </row>
    <row r="32" spans="2:16" x14ac:dyDescent="0.3">
      <c r="B32" s="410" t="s">
        <v>66</v>
      </c>
    </row>
  </sheetData>
  <sheetProtection algorithmName="SHA-512" hashValue="OU3DXVgXGdRNTtMWcP7TvTz6IzCJ0YRc2KsmpzgxeNznzHrynU8my6COwXuxYC8q+sk1NsSyylnnhQly+g71ig==" saltValue="EnoqayfoekheJpbSyeIaaQ==" spinCount="100000" sheet="1" objects="1" scenarios="1"/>
  <pageMargins left="0.7" right="0.7" top="0.75" bottom="0.75" header="0.3" footer="0.3"/>
  <pageSetup paperSize="8" scale="85" fitToHeight="0" orientation="portrait" r:id="rId1"/>
  <headerFooter>
    <oddFooter>&amp;C&amp;F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3"/>
  <sheetViews>
    <sheetView showGridLines="0" workbookViewId="0">
      <selection activeCell="K14" sqref="K14"/>
    </sheetView>
  </sheetViews>
  <sheetFormatPr defaultColWidth="8.88671875" defaultRowHeight="13.8" outlineLevelCol="1" x14ac:dyDescent="0.3"/>
  <cols>
    <col min="1" max="1" width="8.88671875" style="98"/>
    <col min="2" max="2" width="10.6640625" style="98" customWidth="1"/>
    <col min="3" max="3" width="21.6640625" style="98" customWidth="1"/>
    <col min="4" max="4" width="10.6640625" style="98" customWidth="1"/>
    <col min="5" max="5" width="4.44140625" style="98" customWidth="1"/>
    <col min="6" max="6" width="11.33203125" style="98" customWidth="1"/>
    <col min="7" max="7" width="13.109375" style="98" customWidth="1"/>
    <col min="8" max="8" width="10" style="98" customWidth="1"/>
    <col min="9" max="9" width="6.44140625" style="98" customWidth="1"/>
    <col min="10" max="10" width="10.6640625" style="98" customWidth="1"/>
    <col min="11" max="11" width="12.44140625" style="98" customWidth="1"/>
    <col min="12" max="12" width="13.6640625" style="98" hidden="1" customWidth="1" outlineLevel="1"/>
    <col min="13" max="13" width="26.5546875" style="103" customWidth="1" collapsed="1"/>
    <col min="14" max="14" width="23.109375" style="98" customWidth="1"/>
    <col min="15" max="15" width="10.6640625" style="98" customWidth="1"/>
    <col min="16" max="23" width="8.88671875" style="98"/>
    <col min="24" max="24" width="11.33203125" style="98" hidden="1" customWidth="1" outlineLevel="1"/>
    <col min="25" max="25" width="8.88671875" style="98" collapsed="1"/>
    <col min="26" max="16384" width="8.88671875" style="98"/>
  </cols>
  <sheetData>
    <row r="1" spans="1:16" ht="14.4" x14ac:dyDescent="0.3">
      <c r="B1" s="99"/>
      <c r="C1" s="100"/>
      <c r="D1" s="101"/>
      <c r="E1" s="100"/>
      <c r="F1" s="101"/>
      <c r="G1" s="101"/>
      <c r="H1" s="101"/>
      <c r="I1" s="102"/>
      <c r="J1" s="102"/>
      <c r="O1" s="104"/>
    </row>
    <row r="2" spans="1:16" x14ac:dyDescent="0.3">
      <c r="A2" s="41"/>
      <c r="B2" s="5"/>
      <c r="C2" s="76" t="s">
        <v>54</v>
      </c>
      <c r="D2" s="34" t="s">
        <v>55</v>
      </c>
      <c r="E2" s="34"/>
      <c r="F2" s="34"/>
      <c r="G2" s="34"/>
      <c r="H2" s="34"/>
      <c r="I2" s="34"/>
      <c r="J2" s="34"/>
      <c r="K2" s="34"/>
      <c r="L2" s="34"/>
      <c r="M2" s="105" t="s">
        <v>56</v>
      </c>
      <c r="N2" s="106" t="s">
        <v>57</v>
      </c>
    </row>
    <row r="3" spans="1:16" x14ac:dyDescent="0.3">
      <c r="A3" s="41"/>
      <c r="B3" s="8"/>
      <c r="C3" s="77" t="s">
        <v>58</v>
      </c>
      <c r="D3" s="375">
        <v>16343801</v>
      </c>
      <c r="E3" s="107"/>
      <c r="F3" s="107"/>
      <c r="G3" s="107"/>
      <c r="H3" s="107"/>
      <c r="I3" s="10"/>
      <c r="J3" s="107"/>
      <c r="K3" s="107"/>
      <c r="L3" s="107"/>
      <c r="M3" s="108" t="s">
        <v>59</v>
      </c>
      <c r="N3" s="109" t="s">
        <v>52</v>
      </c>
    </row>
    <row r="4" spans="1:16" x14ac:dyDescent="0.3">
      <c r="A4" s="41"/>
      <c r="B4" s="12"/>
      <c r="C4" s="78" t="s">
        <v>60</v>
      </c>
      <c r="D4" s="14" t="s">
        <v>61</v>
      </c>
      <c r="E4" s="14"/>
      <c r="F4" s="14"/>
      <c r="G4" s="14"/>
      <c r="H4" s="14"/>
      <c r="I4" s="14"/>
      <c r="J4" s="14"/>
      <c r="K4" s="14"/>
      <c r="L4" s="14"/>
      <c r="M4" s="110" t="s">
        <v>0</v>
      </c>
      <c r="N4" s="111">
        <f>Startseite!N4</f>
        <v>43755</v>
      </c>
    </row>
    <row r="5" spans="1:16" s="114" customFormat="1" x14ac:dyDescent="0.3">
      <c r="A5" s="41"/>
      <c r="B5" s="29"/>
      <c r="C5" s="41"/>
      <c r="D5" s="41"/>
      <c r="E5" s="41"/>
      <c r="F5" s="41"/>
      <c r="G5" s="41"/>
      <c r="H5" s="41"/>
      <c r="I5" s="41"/>
      <c r="J5" s="41"/>
      <c r="K5" s="41"/>
      <c r="L5" s="41"/>
      <c r="M5" s="112"/>
      <c r="N5" s="113"/>
    </row>
    <row r="6" spans="1:16" x14ac:dyDescent="0.3">
      <c r="A6" s="41"/>
      <c r="B6" s="115"/>
      <c r="C6" s="51" t="s">
        <v>62</v>
      </c>
      <c r="D6" s="43"/>
      <c r="E6" s="43"/>
      <c r="F6" s="43"/>
      <c r="G6" s="43"/>
      <c r="H6" s="43"/>
      <c r="I6" s="43"/>
      <c r="J6" s="43"/>
      <c r="K6" s="43"/>
      <c r="L6" s="43"/>
      <c r="M6" s="43"/>
      <c r="N6" s="116"/>
    </row>
    <row r="7" spans="1:16" x14ac:dyDescent="0.3">
      <c r="A7" s="41"/>
      <c r="B7" s="52" t="s">
        <v>63</v>
      </c>
      <c r="C7" s="41"/>
      <c r="D7" s="41"/>
      <c r="E7" s="41"/>
      <c r="F7" s="41"/>
      <c r="G7" s="41"/>
      <c r="H7" s="41"/>
      <c r="I7" s="41"/>
      <c r="J7" s="41"/>
      <c r="K7" s="41"/>
      <c r="L7" s="41"/>
      <c r="M7" s="41"/>
      <c r="N7" s="117"/>
    </row>
    <row r="8" spans="1:16" x14ac:dyDescent="0.3">
      <c r="A8" s="41"/>
      <c r="B8" s="52" t="s">
        <v>64</v>
      </c>
      <c r="C8" s="41"/>
      <c r="D8" s="41"/>
      <c r="E8" s="41"/>
      <c r="F8" s="41"/>
      <c r="G8" s="41"/>
      <c r="H8" s="41"/>
      <c r="I8" s="41"/>
      <c r="J8" s="41"/>
      <c r="K8" s="41"/>
      <c r="L8" s="41"/>
      <c r="M8" s="41"/>
      <c r="N8" s="117"/>
    </row>
    <row r="9" spans="1:16" x14ac:dyDescent="0.3">
      <c r="A9" s="41"/>
      <c r="B9" s="411" t="s">
        <v>216</v>
      </c>
      <c r="C9" s="41"/>
      <c r="D9" s="41"/>
      <c r="E9" s="41"/>
      <c r="F9" s="41"/>
      <c r="G9" s="41"/>
      <c r="H9" s="41"/>
      <c r="I9" s="41"/>
      <c r="J9" s="41"/>
      <c r="K9" s="41"/>
      <c r="L9" s="41"/>
      <c r="M9" s="41"/>
      <c r="N9" s="117"/>
    </row>
    <row r="10" spans="1:16" x14ac:dyDescent="0.3">
      <c r="A10" s="41"/>
      <c r="B10" s="53"/>
      <c r="C10" s="54"/>
      <c r="D10" s="54"/>
      <c r="E10" s="54"/>
      <c r="F10" s="54"/>
      <c r="G10" s="54"/>
      <c r="H10" s="54"/>
      <c r="I10" s="54"/>
      <c r="J10" s="54"/>
      <c r="K10" s="54"/>
      <c r="L10" s="54"/>
      <c r="M10" s="54"/>
      <c r="N10" s="122"/>
    </row>
    <row r="11" spans="1:16" x14ac:dyDescent="0.3">
      <c r="A11" s="41"/>
      <c r="B11" s="29"/>
      <c r="C11" s="41"/>
      <c r="D11" s="41"/>
      <c r="E11" s="41"/>
      <c r="F11" s="41"/>
      <c r="G11" s="41"/>
      <c r="H11" s="41"/>
      <c r="I11" s="41"/>
      <c r="J11" s="41"/>
      <c r="K11" s="41"/>
      <c r="L11" s="41"/>
      <c r="M11" s="112"/>
      <c r="N11" s="113"/>
    </row>
    <row r="12" spans="1:16" x14ac:dyDescent="0.3">
      <c r="A12" s="114"/>
      <c r="B12" s="123"/>
      <c r="C12" s="124" t="s">
        <v>80</v>
      </c>
      <c r="D12" s="125"/>
      <c r="E12" s="126"/>
      <c r="F12" s="127"/>
      <c r="G12" s="128"/>
      <c r="H12" s="128"/>
      <c r="I12" s="128"/>
      <c r="J12" s="128"/>
      <c r="K12" s="128"/>
      <c r="L12" s="129"/>
      <c r="M12" s="421" t="s">
        <v>67</v>
      </c>
      <c r="N12" s="422"/>
    </row>
    <row r="13" spans="1:16" ht="21.75" customHeight="1" x14ac:dyDescent="0.3">
      <c r="A13" s="41"/>
      <c r="B13" s="131" t="s">
        <v>81</v>
      </c>
      <c r="C13" s="120"/>
      <c r="D13" s="390">
        <v>1000</v>
      </c>
      <c r="E13" s="132"/>
      <c r="F13" s="133"/>
      <c r="G13" s="120"/>
      <c r="H13" s="120"/>
      <c r="I13" s="120"/>
      <c r="J13" s="120"/>
      <c r="K13" s="120"/>
      <c r="L13" s="134"/>
      <c r="M13" s="477" t="s">
        <v>68</v>
      </c>
      <c r="N13" s="478"/>
    </row>
    <row r="14" spans="1:16" ht="21.75" customHeight="1" x14ac:dyDescent="0.3">
      <c r="B14" s="460" t="s">
        <v>82</v>
      </c>
      <c r="C14" s="461"/>
      <c r="D14" s="391">
        <v>3000000</v>
      </c>
      <c r="E14" s="135" t="s">
        <v>132</v>
      </c>
      <c r="F14" s="136"/>
      <c r="G14" s="120"/>
      <c r="H14" s="120"/>
      <c r="I14" s="120"/>
      <c r="J14" s="137">
        <f>D14/D13</f>
        <v>3000</v>
      </c>
      <c r="K14" s="138"/>
      <c r="L14" s="139">
        <f>D14/D13</f>
        <v>3000</v>
      </c>
      <c r="M14" s="477" t="s">
        <v>69</v>
      </c>
      <c r="N14" s="478"/>
    </row>
    <row r="15" spans="1:16" ht="13.95" customHeight="1" x14ac:dyDescent="0.3">
      <c r="B15" s="140" t="s">
        <v>83</v>
      </c>
      <c r="C15" s="141"/>
      <c r="D15" s="392">
        <v>0.04</v>
      </c>
      <c r="E15" s="212" t="s">
        <v>198</v>
      </c>
      <c r="F15" s="120"/>
      <c r="G15" s="120"/>
      <c r="H15" s="120"/>
      <c r="I15" s="120"/>
      <c r="J15" s="120"/>
      <c r="K15" s="138"/>
      <c r="L15" s="143">
        <f>D14*D15</f>
        <v>120000</v>
      </c>
      <c r="M15" s="479" t="s">
        <v>223</v>
      </c>
      <c r="N15" s="480"/>
      <c r="P15" s="144"/>
    </row>
    <row r="16" spans="1:16" x14ac:dyDescent="0.3">
      <c r="A16" s="41"/>
      <c r="B16" s="131"/>
      <c r="C16" s="120"/>
      <c r="D16" s="145"/>
      <c r="E16" s="132"/>
      <c r="F16" s="133"/>
      <c r="G16" s="120"/>
      <c r="H16" s="120"/>
      <c r="I16" s="120"/>
      <c r="J16" s="120"/>
      <c r="K16" s="120"/>
      <c r="L16" s="134"/>
      <c r="M16" s="479"/>
      <c r="N16" s="480"/>
    </row>
    <row r="17" spans="1:16" ht="19.5" customHeight="1" x14ac:dyDescent="0.3">
      <c r="A17" s="41"/>
      <c r="B17" s="146"/>
      <c r="C17" s="147" t="s">
        <v>84</v>
      </c>
      <c r="D17" s="120"/>
      <c r="E17" s="142"/>
      <c r="F17" s="120"/>
      <c r="G17" s="120"/>
      <c r="H17" s="120"/>
      <c r="I17" s="120"/>
      <c r="J17" s="120"/>
      <c r="K17" s="120"/>
      <c r="L17" s="148"/>
      <c r="M17" s="479"/>
      <c r="N17" s="480"/>
    </row>
    <row r="18" spans="1:16" ht="23.25" customHeight="1" x14ac:dyDescent="0.3">
      <c r="A18" s="41"/>
      <c r="B18" s="471" t="s">
        <v>85</v>
      </c>
      <c r="C18" s="472"/>
      <c r="D18" s="393">
        <v>40</v>
      </c>
      <c r="E18" s="120"/>
      <c r="F18" s="120"/>
      <c r="G18" s="120"/>
      <c r="H18" s="120"/>
      <c r="I18" s="149"/>
      <c r="J18" s="150"/>
      <c r="K18" s="150"/>
      <c r="L18" s="151"/>
      <c r="M18" s="423"/>
      <c r="N18" s="424"/>
    </row>
    <row r="19" spans="1:16" ht="13.95" customHeight="1" x14ac:dyDescent="0.3">
      <c r="A19" s="41"/>
      <c r="B19" s="153" t="s">
        <v>86</v>
      </c>
      <c r="C19" s="138"/>
      <c r="D19" s="392">
        <v>0.04</v>
      </c>
      <c r="E19" s="468" t="s">
        <v>133</v>
      </c>
      <c r="F19" s="468"/>
      <c r="G19" s="468"/>
      <c r="H19" s="468"/>
      <c r="I19" s="468"/>
      <c r="J19" s="154"/>
      <c r="K19" s="154"/>
      <c r="L19" s="155"/>
      <c r="M19" s="477" t="s">
        <v>70</v>
      </c>
      <c r="N19" s="478"/>
    </row>
    <row r="20" spans="1:16" x14ac:dyDescent="0.3">
      <c r="A20" s="41"/>
      <c r="B20" s="153" t="s">
        <v>87</v>
      </c>
      <c r="C20" s="138"/>
      <c r="D20" s="392">
        <v>0.02</v>
      </c>
      <c r="E20" s="468"/>
      <c r="F20" s="468"/>
      <c r="G20" s="468"/>
      <c r="H20" s="468"/>
      <c r="I20" s="468"/>
      <c r="J20" s="156"/>
      <c r="K20" s="156"/>
      <c r="L20" s="157" t="str">
        <f>IF(J20="Annuïteit",Ergebnis!E98/((1-(1+'Eingabeblatt 1'!D20)^-'Eingabeblatt 1'!D18)/'Eingabeblatt 1'!D20),"")</f>
        <v/>
      </c>
      <c r="M20" s="477" t="s">
        <v>70</v>
      </c>
      <c r="N20" s="478"/>
      <c r="P20" s="144"/>
    </row>
    <row r="21" spans="1:16" x14ac:dyDescent="0.3">
      <c r="A21" s="41"/>
      <c r="B21" s="158" t="s">
        <v>88</v>
      </c>
      <c r="C21" s="138"/>
      <c r="D21" s="159"/>
      <c r="E21" s="160"/>
      <c r="F21" s="120"/>
      <c r="G21" s="156"/>
      <c r="H21" s="156"/>
      <c r="I21" s="156"/>
      <c r="J21" s="156"/>
      <c r="K21" s="156"/>
      <c r="L21" s="157" t="str">
        <f>IF(J21="Annuïteit",Ergebnis!E52/((1-(1+'Eingabeblatt 1'!D20)^-'Eingabeblatt 1'!D18)/'Eingabeblatt 1'!D20),"")</f>
        <v/>
      </c>
      <c r="M21" s="423"/>
      <c r="N21" s="424"/>
      <c r="P21" s="144"/>
    </row>
    <row r="22" spans="1:16" x14ac:dyDescent="0.3">
      <c r="A22" s="41"/>
      <c r="B22" s="161"/>
      <c r="C22" s="162"/>
      <c r="D22" s="163"/>
      <c r="E22" s="164"/>
      <c r="F22" s="119"/>
      <c r="G22" s="165"/>
      <c r="H22" s="165"/>
      <c r="I22" s="165"/>
      <c r="J22" s="166"/>
      <c r="K22" s="166"/>
      <c r="L22" s="167"/>
      <c r="M22" s="425"/>
      <c r="N22" s="426"/>
    </row>
    <row r="23" spans="1:16" x14ac:dyDescent="0.3">
      <c r="A23" s="41"/>
      <c r="M23" s="427"/>
      <c r="N23" s="428"/>
    </row>
    <row r="24" spans="1:16" x14ac:dyDescent="0.3">
      <c r="A24" s="41"/>
      <c r="B24" s="168" t="s">
        <v>89</v>
      </c>
      <c r="C24" s="169"/>
      <c r="D24" s="170"/>
      <c r="E24" s="169"/>
      <c r="F24" s="170"/>
      <c r="G24" s="170"/>
      <c r="H24" s="170"/>
      <c r="I24" s="171"/>
      <c r="J24" s="171"/>
      <c r="K24" s="172"/>
      <c r="L24" s="129"/>
      <c r="M24" s="429"/>
      <c r="N24" s="422"/>
    </row>
    <row r="25" spans="1:16" x14ac:dyDescent="0.3">
      <c r="A25" s="41"/>
      <c r="B25" s="146"/>
      <c r="C25" s="173" t="s">
        <v>90</v>
      </c>
      <c r="D25" s="173"/>
      <c r="E25" s="120"/>
      <c r="F25" s="120"/>
      <c r="G25" s="120"/>
      <c r="H25" s="120"/>
      <c r="I25" s="120"/>
      <c r="J25" s="120"/>
      <c r="K25" s="174"/>
      <c r="L25" s="134"/>
      <c r="M25" s="430" t="s">
        <v>67</v>
      </c>
      <c r="N25" s="424"/>
    </row>
    <row r="26" spans="1:16" ht="27" customHeight="1" x14ac:dyDescent="0.3">
      <c r="A26" s="41"/>
      <c r="B26" s="460" t="s">
        <v>91</v>
      </c>
      <c r="C26" s="461"/>
      <c r="D26" s="394">
        <v>1</v>
      </c>
      <c r="E26" s="467" t="s">
        <v>116</v>
      </c>
      <c r="F26" s="467"/>
      <c r="G26" s="467"/>
      <c r="H26" s="467"/>
      <c r="I26" s="467"/>
      <c r="J26" s="467"/>
      <c r="L26" s="134"/>
      <c r="M26" s="423"/>
      <c r="N26" s="424"/>
      <c r="P26" s="177"/>
    </row>
    <row r="27" spans="1:16" ht="14.4" x14ac:dyDescent="0.3">
      <c r="A27" s="41"/>
      <c r="B27" s="131" t="s">
        <v>92</v>
      </c>
      <c r="C27" s="120"/>
      <c r="D27" s="178">
        <f>D26*D13</f>
        <v>1000</v>
      </c>
      <c r="E27" s="175"/>
      <c r="F27" s="176"/>
      <c r="G27" s="120"/>
      <c r="H27" s="120"/>
      <c r="I27" s="120"/>
      <c r="J27" s="120"/>
      <c r="K27" s="120"/>
      <c r="L27" s="134"/>
      <c r="M27" s="465" t="s">
        <v>222</v>
      </c>
      <c r="N27" s="466"/>
    </row>
    <row r="28" spans="1:16" ht="13.95" customHeight="1" x14ac:dyDescent="0.3">
      <c r="A28" s="41"/>
      <c r="B28" s="131" t="s">
        <v>93</v>
      </c>
      <c r="C28" s="120"/>
      <c r="D28" s="395">
        <v>12</v>
      </c>
      <c r="E28" s="132" t="s">
        <v>20</v>
      </c>
      <c r="F28" s="179" t="s">
        <v>117</v>
      </c>
      <c r="I28" s="180">
        <f>D28*D27</f>
        <v>12000</v>
      </c>
      <c r="L28" s="134"/>
      <c r="M28" s="465"/>
      <c r="N28" s="466"/>
      <c r="O28" s="144"/>
    </row>
    <row r="29" spans="1:16" x14ac:dyDescent="0.3">
      <c r="A29" s="41"/>
      <c r="B29" s="131" t="s">
        <v>94</v>
      </c>
      <c r="C29" s="120"/>
      <c r="D29" s="394">
        <v>2000</v>
      </c>
      <c r="E29" s="132" t="s">
        <v>20</v>
      </c>
      <c r="F29" s="181" t="s">
        <v>131</v>
      </c>
      <c r="G29" s="120"/>
      <c r="H29" s="120"/>
      <c r="I29" s="120"/>
      <c r="J29" s="182"/>
      <c r="L29" s="134"/>
      <c r="M29" s="431" t="s">
        <v>71</v>
      </c>
      <c r="N29" s="424"/>
    </row>
    <row r="30" spans="1:16" x14ac:dyDescent="0.3">
      <c r="A30" s="41"/>
      <c r="B30" s="131" t="s">
        <v>95</v>
      </c>
      <c r="C30" s="120"/>
      <c r="D30" s="145">
        <f>D29+I28</f>
        <v>14000</v>
      </c>
      <c r="E30" s="132" t="s">
        <v>20</v>
      </c>
      <c r="F30" s="133"/>
      <c r="G30" s="120"/>
      <c r="H30" s="120"/>
      <c r="I30" s="120"/>
      <c r="J30" s="120"/>
      <c r="K30" s="120"/>
      <c r="L30" s="148"/>
      <c r="M30" s="423"/>
      <c r="N30" s="424"/>
    </row>
    <row r="31" spans="1:16" s="188" customFormat="1" ht="12.75" customHeight="1" x14ac:dyDescent="0.3">
      <c r="A31" s="41"/>
      <c r="B31" s="183"/>
      <c r="C31" s="141"/>
      <c r="D31" s="184"/>
      <c r="E31" s="141"/>
      <c r="F31" s="184"/>
      <c r="G31" s="184"/>
      <c r="H31" s="184"/>
      <c r="I31" s="185"/>
      <c r="J31" s="185"/>
      <c r="K31" s="138"/>
      <c r="L31" s="186"/>
      <c r="M31" s="432"/>
      <c r="N31" s="433"/>
    </row>
    <row r="32" spans="1:16" x14ac:dyDescent="0.3">
      <c r="A32" s="41"/>
      <c r="B32" s="146"/>
      <c r="C32" s="173" t="s">
        <v>96</v>
      </c>
      <c r="D32" s="189" t="s">
        <v>119</v>
      </c>
      <c r="E32" s="120"/>
      <c r="F32" s="160"/>
      <c r="G32" s="120"/>
      <c r="H32" s="120"/>
      <c r="I32" s="185"/>
      <c r="J32" s="147" t="s">
        <v>120</v>
      </c>
      <c r="K32" s="154"/>
      <c r="L32" s="190"/>
      <c r="M32" s="423"/>
      <c r="N32" s="434"/>
    </row>
    <row r="33" spans="1:24" ht="14.25" customHeight="1" x14ac:dyDescent="0.3">
      <c r="A33" s="41"/>
      <c r="B33" s="131" t="s">
        <v>97</v>
      </c>
      <c r="C33" s="120"/>
      <c r="D33" s="191"/>
      <c r="E33" s="192"/>
      <c r="F33" s="193">
        <f>'Eingabeblatt 2'!I50</f>
        <v>30652634.039999999</v>
      </c>
      <c r="G33" s="120"/>
      <c r="H33" s="120"/>
      <c r="K33" s="194"/>
      <c r="L33" s="195"/>
      <c r="M33" s="463" t="s">
        <v>72</v>
      </c>
      <c r="N33" s="464"/>
    </row>
    <row r="34" spans="1:24" x14ac:dyDescent="0.3">
      <c r="A34" s="41"/>
      <c r="B34" s="131" t="s">
        <v>98</v>
      </c>
      <c r="C34" s="120"/>
      <c r="D34" s="145">
        <v>10</v>
      </c>
      <c r="E34" s="196" t="s">
        <v>122</v>
      </c>
      <c r="F34" s="197">
        <f>X35*(1+'Eingabeblatt 2'!$E$45)+X35*('Eingabeblatt 2'!$E$46)+X35*('Eingabeblatt 2'!$E$47)</f>
        <v>10086720.363999998</v>
      </c>
      <c r="G34" s="188"/>
      <c r="H34" s="188"/>
      <c r="J34" s="396">
        <v>0.02</v>
      </c>
      <c r="K34" s="194"/>
      <c r="L34" s="143">
        <f t="shared" ref="L34:L36" si="0">F34</f>
        <v>10086720.363999998</v>
      </c>
      <c r="M34" s="463"/>
      <c r="N34" s="464"/>
      <c r="P34" s="144"/>
    </row>
    <row r="35" spans="1:24" x14ac:dyDescent="0.3">
      <c r="A35" s="41"/>
      <c r="B35" s="131" t="s">
        <v>98</v>
      </c>
      <c r="C35" s="120"/>
      <c r="D35" s="145">
        <v>20</v>
      </c>
      <c r="E35" s="196" t="s">
        <v>122</v>
      </c>
      <c r="F35" s="197">
        <f>X36*(1+'Eingabeblatt 2'!$E$45)+X36*('Eingabeblatt 2'!$E$46)+X36*('Eingabeblatt 2'!$E$47)</f>
        <v>25791079.439999998</v>
      </c>
      <c r="J35" s="198">
        <f>J34</f>
        <v>0.02</v>
      </c>
      <c r="K35" s="194"/>
      <c r="L35" s="143">
        <f t="shared" si="0"/>
        <v>25791079.439999998</v>
      </c>
      <c r="M35" s="463"/>
      <c r="N35" s="464"/>
      <c r="O35" s="144"/>
      <c r="X35" s="199">
        <f>(SUMIFS('Eingabeblatt 2'!I14:I20,'Eingabeblatt 2'!E14:E20,'Eingabeblatt 1'!D34)+SUMIFS('Eingabeblatt 2'!I24:I28,'Eingabeblatt 2'!E24:E28,'Eingabeblatt 1'!D34)+SUMIFS('Eingabeblatt 2'!I32,'Eingabeblatt 2'!E32,'Eingabeblatt 1'!D34)+SUMIFS('Eingabeblatt 2'!I36,'Eingabeblatt 2'!E36,'Eingabeblatt 1'!D34))*(1+'Eingabeblatt 2'!F42)</f>
        <v>7103324.1999999993</v>
      </c>
    </row>
    <row r="36" spans="1:24" x14ac:dyDescent="0.3">
      <c r="A36" s="41"/>
      <c r="B36" s="131" t="s">
        <v>98</v>
      </c>
      <c r="C36" s="120"/>
      <c r="D36" s="145">
        <v>30</v>
      </c>
      <c r="E36" s="196" t="s">
        <v>122</v>
      </c>
      <c r="F36" s="197">
        <f>X37*(1+'Eingabeblatt 2'!$E$45)+X37*('Eingabeblatt 2'!$E$46)+X37*('Eingabeblatt 2'!$E$47)</f>
        <v>10086720.363999998</v>
      </c>
      <c r="J36" s="198">
        <f>J34</f>
        <v>0.02</v>
      </c>
      <c r="K36" s="194"/>
      <c r="L36" s="143">
        <f t="shared" si="0"/>
        <v>10086720.363999998</v>
      </c>
      <c r="M36" s="435"/>
      <c r="N36" s="433"/>
      <c r="X36" s="199">
        <f>(SUMIFS('Eingabeblatt 2'!I14:I20,'Eingabeblatt 2'!E14:E20,'Eingabeblatt 1'!D34)+SUMIFS('Eingabeblatt 2'!I24:I28,'Eingabeblatt 2'!E24:E28,'Eingabeblatt 1'!D34)+SUMIFS('Eingabeblatt 2'!I32,'Eingabeblatt 2'!E32,'Eingabeblatt 1'!D34)+SUMIFS('Eingabeblatt 2'!I36,'Eingabeblatt 2'!E36,'Eingabeblatt 1'!D34)+SUMIFS('Eingabeblatt 2'!I14:I20,'Eingabeblatt 2'!E14:E20,'Eingabeblatt 1'!D35)+SUMIFS('Eingabeblatt 2'!I24:I28,'Eingabeblatt 2'!E24:E28,'Eingabeblatt 1'!D35)+SUMIFS('Eingabeblatt 2'!I32,'Eingabeblatt 2'!E32,'Eingabeblatt 1'!D35)+SUMIFS('Eingabeblatt 2'!I36,'Eingabeblatt 2'!E36,'Eingabeblatt 1'!D35))*(1+'Eingabeblatt 2'!F42)</f>
        <v>18162732</v>
      </c>
    </row>
    <row r="37" spans="1:24" s="188" customFormat="1" ht="12.75" customHeight="1" x14ac:dyDescent="0.3">
      <c r="A37" s="41"/>
      <c r="B37" s="131" t="s">
        <v>99</v>
      </c>
      <c r="C37" s="120"/>
      <c r="D37" s="145">
        <v>40</v>
      </c>
      <c r="E37" s="132" t="s">
        <v>122</v>
      </c>
      <c r="F37" s="197">
        <f>X38</f>
        <v>630000</v>
      </c>
      <c r="G37" s="138"/>
      <c r="H37" s="138"/>
      <c r="J37" s="198">
        <f>J35</f>
        <v>0.02</v>
      </c>
      <c r="K37" s="194"/>
      <c r="L37" s="143">
        <f>F37</f>
        <v>630000</v>
      </c>
      <c r="M37" s="432"/>
      <c r="N37" s="436"/>
      <c r="X37" s="199">
        <f>(SUMIFS('Eingabeblatt 2'!I14:I20,'Eingabeblatt 2'!E14:E20,'Eingabeblatt 1'!D34)+SUMIFS('Eingabeblatt 2'!I24:I28,'Eingabeblatt 2'!E24:E28,'Eingabeblatt 1'!D34)+SUMIFS('Eingabeblatt 2'!I32,'Eingabeblatt 2'!E32,'Eingabeblatt 1'!D34)+SUMIFS('Eingabeblatt 2'!I36,'Eingabeblatt 2'!E36,'Eingabeblatt 1'!D34)+SUMIFS('Eingabeblatt 2'!I14:I20,'Eingabeblatt 2'!E14:E20,'Eingabeblatt 1'!D36)+SUMIFS('Eingabeblatt 2'!I24:I28,'Eingabeblatt 2'!E24:E28,'Eingabeblatt 1'!D36)+SUMIFS('Eingabeblatt 2'!I32,'Eingabeblatt 2'!E32,'Eingabeblatt 1'!D36)+SUMIFS('Eingabeblatt 2'!I36,'Eingabeblatt 2'!E36,'Eingabeblatt 1'!D36))*(1+'Eingabeblatt 2'!F42)</f>
        <v>7103324.1999999993</v>
      </c>
    </row>
    <row r="38" spans="1:24" s="188" customFormat="1" ht="12.75" customHeight="1" x14ac:dyDescent="0.3">
      <c r="A38" s="41"/>
      <c r="B38" s="131"/>
      <c r="C38" s="120"/>
      <c r="D38" s="145"/>
      <c r="E38" s="132"/>
      <c r="F38" s="199"/>
      <c r="G38" s="138"/>
      <c r="H38" s="138"/>
      <c r="J38" s="198"/>
      <c r="K38" s="194"/>
      <c r="L38" s="200"/>
      <c r="M38" s="432"/>
      <c r="N38" s="436"/>
      <c r="X38" s="199">
        <f>'Eingabeblatt 2'!K53</f>
        <v>630000</v>
      </c>
    </row>
    <row r="39" spans="1:24" x14ac:dyDescent="0.3">
      <c r="A39" s="41"/>
      <c r="B39" s="146"/>
      <c r="C39" s="147" t="s">
        <v>100</v>
      </c>
      <c r="D39" s="120"/>
      <c r="E39" s="120"/>
      <c r="F39" s="201"/>
      <c r="G39" s="120"/>
      <c r="H39" s="120"/>
      <c r="J39" s="202"/>
      <c r="K39" s="154"/>
      <c r="L39" s="195"/>
      <c r="M39" s="437"/>
      <c r="N39" s="434"/>
    </row>
    <row r="40" spans="1:24" ht="26.25" customHeight="1" x14ac:dyDescent="0.3">
      <c r="A40" s="41"/>
      <c r="B40" s="131" t="s">
        <v>101</v>
      </c>
      <c r="C40" s="156"/>
      <c r="D40" s="397">
        <v>25</v>
      </c>
      <c r="E40" s="212" t="s">
        <v>199</v>
      </c>
      <c r="F40" s="203"/>
      <c r="G40" s="138"/>
      <c r="H40" s="138"/>
      <c r="J40" s="396">
        <v>0.02</v>
      </c>
      <c r="K40" s="154"/>
      <c r="L40" s="204">
        <f>D40*D30</f>
        <v>350000</v>
      </c>
      <c r="M40" s="463" t="s">
        <v>73</v>
      </c>
      <c r="N40" s="464"/>
      <c r="P40" s="144"/>
      <c r="U40" s="205"/>
    </row>
    <row r="41" spans="1:24" ht="21" customHeight="1" x14ac:dyDescent="0.3">
      <c r="A41" s="41"/>
      <c r="B41" s="460" t="s">
        <v>102</v>
      </c>
      <c r="C41" s="461"/>
      <c r="D41" s="394">
        <v>20</v>
      </c>
      <c r="E41" s="314" t="s">
        <v>122</v>
      </c>
      <c r="F41" s="397">
        <v>0</v>
      </c>
      <c r="G41" s="138" t="s">
        <v>127</v>
      </c>
      <c r="H41" s="138"/>
      <c r="J41" s="206"/>
      <c r="K41" s="194"/>
      <c r="L41" s="204">
        <f>D30*F41</f>
        <v>0</v>
      </c>
      <c r="M41" s="469" t="s">
        <v>74</v>
      </c>
      <c r="N41" s="470"/>
      <c r="P41" s="144"/>
      <c r="U41" s="144"/>
    </row>
    <row r="42" spans="1:24" ht="14.25" customHeight="1" x14ac:dyDescent="0.3">
      <c r="A42" s="41"/>
      <c r="B42" s="153" t="s">
        <v>103</v>
      </c>
      <c r="C42" s="120"/>
      <c r="D42" s="397">
        <v>25</v>
      </c>
      <c r="E42" s="212" t="s">
        <v>199</v>
      </c>
      <c r="F42" s="203"/>
      <c r="G42" s="138"/>
      <c r="H42" s="138"/>
      <c r="J42" s="396">
        <v>2.2499999999999999E-2</v>
      </c>
      <c r="K42" s="194"/>
      <c r="L42" s="204">
        <f>D30*D42</f>
        <v>350000</v>
      </c>
      <c r="M42" s="463" t="s">
        <v>75</v>
      </c>
      <c r="N42" s="464"/>
      <c r="P42" s="144"/>
      <c r="U42" s="144"/>
    </row>
    <row r="43" spans="1:24" x14ac:dyDescent="0.3">
      <c r="A43" s="41"/>
      <c r="B43" s="158"/>
      <c r="C43" s="154"/>
      <c r="D43" s="191"/>
      <c r="E43" s="142"/>
      <c r="F43" s="207"/>
      <c r="G43" s="156"/>
      <c r="H43" s="156"/>
      <c r="I43" s="114"/>
      <c r="J43" s="198"/>
      <c r="K43" s="194"/>
      <c r="L43" s="204"/>
      <c r="M43" s="463"/>
      <c r="N43" s="464"/>
      <c r="U43" s="144"/>
    </row>
    <row r="44" spans="1:24" x14ac:dyDescent="0.3">
      <c r="A44" s="41"/>
      <c r="B44" s="153"/>
      <c r="C44" s="462" t="s">
        <v>129</v>
      </c>
      <c r="D44" s="462"/>
      <c r="E44" s="142"/>
      <c r="F44" s="208" t="s">
        <v>130</v>
      </c>
      <c r="G44" s="138"/>
      <c r="H44" s="147" t="s">
        <v>125</v>
      </c>
      <c r="I44" s="144"/>
      <c r="J44" s="198"/>
      <c r="K44" s="194"/>
      <c r="L44" s="195"/>
      <c r="M44" s="438"/>
      <c r="N44" s="434"/>
      <c r="U44" s="144"/>
    </row>
    <row r="45" spans="1:24" ht="14.4" customHeight="1" x14ac:dyDescent="0.3">
      <c r="A45" s="41"/>
      <c r="B45" s="131" t="s">
        <v>104</v>
      </c>
      <c r="C45" s="120"/>
      <c r="D45" s="398">
        <v>14.9</v>
      </c>
      <c r="E45" s="142" t="s">
        <v>27</v>
      </c>
      <c r="F45" s="399">
        <v>0.4481</v>
      </c>
      <c r="G45" s="314" t="s">
        <v>128</v>
      </c>
      <c r="H45" s="203">
        <f>D45*F45*$D$30</f>
        <v>93473.66</v>
      </c>
      <c r="J45" s="396">
        <v>0.01</v>
      </c>
      <c r="K45" s="154"/>
      <c r="L45" s="204">
        <f>D45*F45*D30</f>
        <v>93473.66</v>
      </c>
      <c r="M45" s="469" t="s">
        <v>76</v>
      </c>
      <c r="N45" s="470"/>
      <c r="P45" s="144"/>
      <c r="U45" s="205"/>
    </row>
    <row r="46" spans="1:24" x14ac:dyDescent="0.3">
      <c r="A46" s="41"/>
      <c r="B46" s="131" t="s">
        <v>105</v>
      </c>
      <c r="C46" s="120"/>
      <c r="D46" s="398">
        <v>0.25</v>
      </c>
      <c r="E46" s="142" t="s">
        <v>27</v>
      </c>
      <c r="F46" s="399">
        <v>1.1599999999999999</v>
      </c>
      <c r="G46" s="314" t="s">
        <v>128</v>
      </c>
      <c r="H46" s="203">
        <f t="shared" ref="H46:H47" si="1">D46*F46*$D$30</f>
        <v>4059.9999999999995</v>
      </c>
      <c r="J46" s="396">
        <v>0.01</v>
      </c>
      <c r="K46" s="120"/>
      <c r="L46" s="204">
        <f>D46*F46*D30</f>
        <v>4059.9999999999995</v>
      </c>
      <c r="M46" s="439"/>
      <c r="N46" s="424"/>
      <c r="P46" s="144"/>
      <c r="U46" s="144"/>
    </row>
    <row r="47" spans="1:24" ht="15" customHeight="1" x14ac:dyDescent="0.3">
      <c r="A47" s="41"/>
      <c r="B47" s="131" t="s">
        <v>106</v>
      </c>
      <c r="C47" s="156"/>
      <c r="D47" s="398">
        <v>98</v>
      </c>
      <c r="E47" s="142" t="s">
        <v>26</v>
      </c>
      <c r="F47" s="399">
        <v>9.5699999999999993E-2</v>
      </c>
      <c r="G47" s="314" t="s">
        <v>128</v>
      </c>
      <c r="H47" s="203">
        <f t="shared" si="1"/>
        <v>131300.4</v>
      </c>
      <c r="J47" s="396">
        <v>5.0000000000000001E-3</v>
      </c>
      <c r="K47" s="120"/>
      <c r="L47" s="204">
        <f>D47*F47*D30</f>
        <v>131300.4</v>
      </c>
      <c r="M47" s="469" t="s">
        <v>77</v>
      </c>
      <c r="N47" s="470"/>
      <c r="O47" s="144"/>
      <c r="U47" s="205"/>
    </row>
    <row r="48" spans="1:24" ht="14.4" x14ac:dyDescent="0.3">
      <c r="A48" s="41"/>
      <c r="B48" s="131"/>
      <c r="C48" s="156"/>
      <c r="D48" s="209"/>
      <c r="E48" s="142"/>
      <c r="F48" s="210"/>
      <c r="G48" s="156"/>
      <c r="H48" s="156"/>
      <c r="I48" s="114"/>
      <c r="J48" s="198"/>
      <c r="K48" s="120"/>
      <c r="L48" s="204"/>
      <c r="M48" s="440"/>
      <c r="N48" s="441"/>
      <c r="O48" s="144"/>
      <c r="U48" s="205"/>
    </row>
    <row r="49" spans="1:21" ht="14.4" x14ac:dyDescent="0.3">
      <c r="A49" s="41"/>
      <c r="B49" s="131"/>
      <c r="C49" s="147" t="s">
        <v>107</v>
      </c>
      <c r="D49" s="211"/>
      <c r="E49" s="212"/>
      <c r="I49" s="207"/>
      <c r="J49" s="198"/>
      <c r="K49" s="120"/>
      <c r="L49" s="204"/>
      <c r="M49" s="440"/>
      <c r="N49" s="441"/>
      <c r="O49" s="144"/>
      <c r="U49" s="205"/>
    </row>
    <row r="50" spans="1:21" ht="14.4" x14ac:dyDescent="0.3">
      <c r="A50" s="41"/>
      <c r="B50" s="140" t="s">
        <v>108</v>
      </c>
      <c r="C50" s="156"/>
      <c r="D50" s="401">
        <v>0</v>
      </c>
      <c r="E50" s="212" t="s">
        <v>123</v>
      </c>
      <c r="F50" s="120"/>
      <c r="I50" s="207"/>
      <c r="J50" s="198"/>
      <c r="K50" s="120"/>
      <c r="L50" s="204"/>
      <c r="M50" s="440"/>
      <c r="N50" s="441"/>
      <c r="O50" s="144"/>
      <c r="U50" s="205"/>
    </row>
    <row r="51" spans="1:21" ht="14.4" x14ac:dyDescent="0.3">
      <c r="A51" s="41"/>
      <c r="B51" s="140" t="s">
        <v>109</v>
      </c>
      <c r="C51" s="156"/>
      <c r="D51" s="401">
        <v>0</v>
      </c>
      <c r="E51" s="212" t="s">
        <v>124</v>
      </c>
      <c r="F51" s="120"/>
      <c r="I51" s="207"/>
      <c r="J51" s="400">
        <v>0.01</v>
      </c>
      <c r="K51" s="120"/>
      <c r="L51" s="204"/>
      <c r="M51" s="440"/>
      <c r="N51" s="441"/>
      <c r="O51" s="144"/>
      <c r="U51" s="205"/>
    </row>
    <row r="52" spans="1:21" x14ac:dyDescent="0.3">
      <c r="A52" s="41"/>
      <c r="B52" s="213"/>
      <c r="C52" s="119"/>
      <c r="D52" s="119"/>
      <c r="E52" s="119"/>
      <c r="F52" s="119"/>
      <c r="G52" s="119"/>
      <c r="H52" s="119"/>
      <c r="I52" s="214"/>
      <c r="J52" s="214"/>
      <c r="K52" s="214"/>
      <c r="L52" s="215"/>
      <c r="M52" s="425"/>
      <c r="N52" s="442"/>
    </row>
    <row r="53" spans="1:21" x14ac:dyDescent="0.3">
      <c r="A53" s="41"/>
      <c r="B53" s="120"/>
      <c r="C53" s="120"/>
      <c r="D53" s="120"/>
      <c r="E53" s="120"/>
      <c r="F53" s="120"/>
      <c r="G53" s="120"/>
      <c r="H53" s="120"/>
      <c r="I53" s="154"/>
      <c r="J53" s="154"/>
      <c r="K53" s="154"/>
      <c r="L53" s="184"/>
      <c r="M53" s="443"/>
      <c r="N53" s="444"/>
    </row>
    <row r="54" spans="1:21" x14ac:dyDescent="0.3">
      <c r="A54" s="41"/>
      <c r="B54" s="29"/>
      <c r="C54" s="41"/>
      <c r="D54" s="41"/>
      <c r="E54" s="41"/>
      <c r="F54" s="41"/>
      <c r="G54" s="41"/>
      <c r="H54" s="41"/>
      <c r="I54" s="41"/>
      <c r="J54" s="41"/>
      <c r="K54" s="41"/>
      <c r="L54" s="41"/>
      <c r="M54" s="445"/>
      <c r="N54" s="446"/>
    </row>
    <row r="55" spans="1:21" x14ac:dyDescent="0.3">
      <c r="B55" s="168" t="s">
        <v>110</v>
      </c>
      <c r="C55" s="169"/>
      <c r="D55" s="170"/>
      <c r="E55" s="169"/>
      <c r="F55" s="170"/>
      <c r="G55" s="170"/>
      <c r="H55" s="170"/>
      <c r="I55" s="171"/>
      <c r="J55" s="171"/>
      <c r="K55" s="129"/>
      <c r="L55" s="129"/>
      <c r="M55" s="447"/>
      <c r="N55" s="422"/>
    </row>
    <row r="56" spans="1:21" x14ac:dyDescent="0.3">
      <c r="B56" s="146"/>
      <c r="C56" s="173" t="s">
        <v>90</v>
      </c>
      <c r="D56" s="219"/>
      <c r="E56" s="120"/>
      <c r="F56" s="120"/>
      <c r="G56" s="120"/>
      <c r="H56" s="120"/>
      <c r="I56" s="120"/>
      <c r="K56" s="220"/>
      <c r="L56" s="186"/>
      <c r="M56" s="448" t="s">
        <v>67</v>
      </c>
      <c r="N56" s="433"/>
    </row>
    <row r="57" spans="1:21" ht="25.5" customHeight="1" x14ac:dyDescent="0.3">
      <c r="A57" s="114"/>
      <c r="B57" s="460" t="s">
        <v>91</v>
      </c>
      <c r="C57" s="461"/>
      <c r="D57" s="390">
        <v>0.75</v>
      </c>
      <c r="E57" s="467" t="s">
        <v>116</v>
      </c>
      <c r="F57" s="467"/>
      <c r="G57" s="467"/>
      <c r="H57" s="467"/>
      <c r="I57" s="467"/>
      <c r="J57" s="467"/>
      <c r="L57" s="186"/>
      <c r="M57" s="423"/>
      <c r="N57" s="433"/>
    </row>
    <row r="58" spans="1:21" ht="14.4" x14ac:dyDescent="0.3">
      <c r="A58" s="114"/>
      <c r="B58" s="131" t="s">
        <v>92</v>
      </c>
      <c r="C58" s="120"/>
      <c r="D58" s="178">
        <f>D13*D57</f>
        <v>750</v>
      </c>
      <c r="E58" s="175"/>
      <c r="F58" s="176"/>
      <c r="G58" s="120"/>
      <c r="H58" s="120"/>
      <c r="I58" s="120"/>
      <c r="J58" s="120"/>
      <c r="K58" s="148"/>
      <c r="L58" s="186"/>
      <c r="M58" s="465" t="s">
        <v>224</v>
      </c>
      <c r="N58" s="466"/>
    </row>
    <row r="59" spans="1:21" ht="14.25" customHeight="1" x14ac:dyDescent="0.3">
      <c r="A59" s="114"/>
      <c r="B59" s="131" t="s">
        <v>93</v>
      </c>
      <c r="C59" s="120"/>
      <c r="D59" s="402">
        <v>11</v>
      </c>
      <c r="E59" s="132" t="s">
        <v>20</v>
      </c>
      <c r="F59" s="179" t="s">
        <v>117</v>
      </c>
      <c r="I59" s="180">
        <f>D59*D58</f>
        <v>8250</v>
      </c>
      <c r="K59" s="148"/>
      <c r="L59" s="186"/>
      <c r="M59" s="465"/>
      <c r="N59" s="466"/>
      <c r="O59" s="144"/>
    </row>
    <row r="60" spans="1:21" x14ac:dyDescent="0.3">
      <c r="A60" s="114"/>
      <c r="B60" s="131" t="s">
        <v>94</v>
      </c>
      <c r="C60" s="120"/>
      <c r="D60" s="390">
        <v>2000</v>
      </c>
      <c r="E60" s="132" t="s">
        <v>20</v>
      </c>
      <c r="F60" s="181" t="s">
        <v>118</v>
      </c>
      <c r="G60" s="120"/>
      <c r="H60" s="120"/>
      <c r="I60" s="120"/>
      <c r="J60" s="120"/>
      <c r="K60" s="148"/>
      <c r="L60" s="186"/>
      <c r="M60" s="431" t="s">
        <v>71</v>
      </c>
      <c r="N60" s="424"/>
    </row>
    <row r="61" spans="1:21" x14ac:dyDescent="0.3">
      <c r="A61" s="114"/>
      <c r="B61" s="131" t="s">
        <v>95</v>
      </c>
      <c r="C61" s="120"/>
      <c r="D61" s="145">
        <f>D60+I59</f>
        <v>10250</v>
      </c>
      <c r="E61" s="132" t="s">
        <v>20</v>
      </c>
      <c r="F61" s="133"/>
      <c r="G61" s="120"/>
      <c r="H61" s="120"/>
      <c r="I61" s="120"/>
      <c r="J61" s="120"/>
      <c r="K61" s="148"/>
      <c r="L61" s="186"/>
      <c r="M61" s="449"/>
      <c r="N61" s="433"/>
    </row>
    <row r="62" spans="1:21" s="188" customFormat="1" ht="15" customHeight="1" x14ac:dyDescent="0.3">
      <c r="A62" s="209"/>
      <c r="B62" s="131"/>
      <c r="C62" s="138"/>
      <c r="D62" s="145"/>
      <c r="E62" s="132"/>
      <c r="F62" s="133"/>
      <c r="G62" s="138"/>
      <c r="H62" s="138"/>
      <c r="I62" s="138"/>
      <c r="J62" s="138"/>
      <c r="K62" s="186"/>
      <c r="L62" s="186"/>
      <c r="M62" s="432"/>
      <c r="N62" s="433"/>
    </row>
    <row r="63" spans="1:21" x14ac:dyDescent="0.3">
      <c r="B63" s="146"/>
      <c r="C63" s="173" t="s">
        <v>96</v>
      </c>
      <c r="D63" s="189" t="s">
        <v>119</v>
      </c>
      <c r="E63" s="120"/>
      <c r="F63" s="154"/>
      <c r="G63" s="120"/>
      <c r="H63" s="120"/>
      <c r="I63" s="185"/>
      <c r="J63" s="120"/>
      <c r="K63" s="186"/>
      <c r="L63" s="148"/>
      <c r="M63" s="423"/>
      <c r="N63" s="424"/>
    </row>
    <row r="64" spans="1:21" ht="13.95" customHeight="1" x14ac:dyDescent="0.3">
      <c r="B64" s="131" t="s">
        <v>97</v>
      </c>
      <c r="C64" s="120"/>
      <c r="D64" s="191"/>
      <c r="E64" s="138"/>
      <c r="F64" s="207">
        <f>'Eingabeblatt 2'!O50</f>
        <v>30436100.955750003</v>
      </c>
      <c r="G64" s="120"/>
      <c r="H64" s="120"/>
      <c r="J64" s="147" t="s">
        <v>120</v>
      </c>
      <c r="K64" s="221"/>
      <c r="L64" s="190"/>
      <c r="M64" s="463" t="s">
        <v>72</v>
      </c>
      <c r="N64" s="464"/>
    </row>
    <row r="65" spans="2:24" x14ac:dyDescent="0.3">
      <c r="B65" s="131" t="s">
        <v>111</v>
      </c>
      <c r="C65" s="120"/>
      <c r="D65" s="145">
        <v>10</v>
      </c>
      <c r="E65" s="132" t="s">
        <v>122</v>
      </c>
      <c r="F65" s="197">
        <f>X65*(1+'Eingabeblatt 2'!$M$45)+X65*'Eingabeblatt 2'!M46+$X$65*'Eingabeblatt 2'!$M$47</f>
        <v>7984138.5547000002</v>
      </c>
      <c r="G65" s="188"/>
      <c r="H65" s="188"/>
      <c r="J65" s="403">
        <v>0.02</v>
      </c>
      <c r="K65" s="221"/>
      <c r="L65" s="204">
        <f>F65</f>
        <v>7984138.5547000002</v>
      </c>
      <c r="M65" s="463"/>
      <c r="N65" s="464"/>
      <c r="X65" s="199">
        <f>(SUMIFS('Eingabeblatt 2'!O14:O20,'Eingabeblatt 2'!E14:E20,'Eingabeblatt 1'!D65)+SUMIFS('Eingabeblatt 2'!O24:O28,'Eingabeblatt 2'!E24:E28,'Eingabeblatt 1'!D65)+SUMIFS('Eingabeblatt 2'!O32,'Eingabeblatt 2'!E32,'Eingabeblatt 1'!D65)+SUMIFS('Eingabeblatt 2'!O36,'Eingabeblatt 2'!E36,'Eingabeblatt 1'!D65))*(1+'Eingabeblatt 2'!M42)</f>
        <v>5622632.7850000001</v>
      </c>
    </row>
    <row r="66" spans="2:24" x14ac:dyDescent="0.3">
      <c r="B66" s="131" t="s">
        <v>111</v>
      </c>
      <c r="C66" s="120"/>
      <c r="D66" s="145">
        <v>20</v>
      </c>
      <c r="E66" s="132" t="s">
        <v>122</v>
      </c>
      <c r="F66" s="197">
        <f>X66*(1+'Eingabeblatt 2'!$M$45)+X66*'Eingabeblatt 2'!M47+$X$66*'Eingabeblatt 2'!$M$47</f>
        <v>25970196.127749998</v>
      </c>
      <c r="J66" s="198">
        <f>J65</f>
        <v>0.02</v>
      </c>
      <c r="K66" s="221"/>
      <c r="L66" s="204">
        <f>F66</f>
        <v>25970196.127749998</v>
      </c>
      <c r="M66" s="463"/>
      <c r="N66" s="464"/>
      <c r="X66" s="199">
        <f>(SUMIFS('Eingabeblatt 2'!O14:O20,'Eingabeblatt 2'!E14:E20,'Eingabeblatt 1'!D65)+SUMIFS('Eingabeblatt 2'!O24:O28,'Eingabeblatt 2'!E24:E28,'Eingabeblatt 1'!D65)+SUMIFS('Eingabeblatt 2'!O32,'Eingabeblatt 2'!E32,'Eingabeblatt 1'!D65)+SUMIFS('Eingabeblatt 2'!O36,'Eingabeblatt 2'!E36,'Eingabeblatt 1'!D65)+SUMIFS('Eingabeblatt 2'!O14:O20,'Eingabeblatt 2'!E14:E20,'Eingabeblatt 1'!D66)+SUMIFS('Eingabeblatt 2'!O24:O28,'Eingabeblatt 2'!E24:E28,'Eingabeblatt 1'!D66)+SUMIFS('Eingabeblatt 2'!O32,'Eingabeblatt 2'!E32,'Eingabeblatt 1'!D66)+SUMIFS('Eingabeblatt 2'!O36,'Eingabeblatt 2'!E36,'Eingabeblatt 1'!D66))*(1+'Eingabeblatt 2'!M42)</f>
        <v>18288870.512499999</v>
      </c>
    </row>
    <row r="67" spans="2:24" x14ac:dyDescent="0.3">
      <c r="B67" s="131" t="s">
        <v>111</v>
      </c>
      <c r="C67" s="120"/>
      <c r="D67" s="145">
        <v>30</v>
      </c>
      <c r="E67" s="132" t="s">
        <v>122</v>
      </c>
      <c r="F67" s="197">
        <f>X67*(1+'Eingabeblatt 2'!$M$45)+X67*'Eingabeblatt 2'!M48+$X$67*'Eingabeblatt 2'!$M$47</f>
        <v>7421875.2762000002</v>
      </c>
      <c r="J67" s="198">
        <f>J65</f>
        <v>0.02</v>
      </c>
      <c r="K67" s="221"/>
      <c r="L67" s="204">
        <f t="shared" ref="L67:L68" si="2">F67</f>
        <v>7421875.2762000002</v>
      </c>
      <c r="M67" s="423"/>
      <c r="N67" s="424"/>
      <c r="X67" s="199">
        <f>(SUMIFS('Eingabeblatt 2'!O14:O20,'Eingabeblatt 2'!E14:E20,'Eingabeblatt 1'!D65)+SUMIFS('Eingabeblatt 2'!O24:O28,'Eingabeblatt 2'!E24:E28,'Eingabeblatt 1'!D65)+SUMIFS('Eingabeblatt 2'!O32,'Eingabeblatt 2'!E32,'Eingabeblatt 1'!D65)+SUMIFS('Eingabeblatt 2'!O36,'Eingabeblatt 2'!E36,'Eingabeblatt 1'!D65)+SUMIFS('Eingabeblatt 2'!O14:O20,'Eingabeblatt 2'!E14:E20,'Eingabeblatt 1'!D67)+SUMIFS('Eingabeblatt 2'!O24:O28,'Eingabeblatt 2'!E24:E28,'Eingabeblatt 1'!D67)+SUMIFS('Eingabeblatt 2'!O32,'Eingabeblatt 2'!E32,'Eingabeblatt 1'!D67)+SUMIFS('Eingabeblatt 2'!O36,'Eingabeblatt 2'!E36,'Eingabeblatt 1'!D67))*(1+'Eingabeblatt 2'!M42)</f>
        <v>5622632.7850000001</v>
      </c>
    </row>
    <row r="68" spans="2:24" x14ac:dyDescent="0.3">
      <c r="B68" s="131" t="s">
        <v>112</v>
      </c>
      <c r="C68" s="120"/>
      <c r="D68" s="145">
        <v>40</v>
      </c>
      <c r="E68" s="132" t="s">
        <v>122</v>
      </c>
      <c r="F68" s="197">
        <f>X68</f>
        <v>256250</v>
      </c>
      <c r="G68" s="138"/>
      <c r="H68" s="138"/>
      <c r="I68" s="188"/>
      <c r="J68" s="198">
        <f>J66</f>
        <v>0.02</v>
      </c>
      <c r="K68" s="221"/>
      <c r="L68" s="204">
        <f t="shared" si="2"/>
        <v>256250</v>
      </c>
      <c r="M68" s="449"/>
      <c r="N68" s="424"/>
      <c r="X68" s="199">
        <f>'Eingabeblatt 2'!$O$54</f>
        <v>256250</v>
      </c>
    </row>
    <row r="69" spans="2:24" x14ac:dyDescent="0.3">
      <c r="B69" s="131"/>
      <c r="C69" s="120"/>
      <c r="D69" s="145"/>
      <c r="E69" s="196"/>
      <c r="F69" s="133"/>
      <c r="G69" s="120"/>
      <c r="H69" s="120"/>
      <c r="J69" s="206"/>
      <c r="K69" s="221"/>
      <c r="L69" s="134"/>
      <c r="M69" s="449"/>
      <c r="N69" s="424"/>
    </row>
    <row r="70" spans="2:24" x14ac:dyDescent="0.3">
      <c r="B70" s="146"/>
      <c r="C70" s="147" t="s">
        <v>100</v>
      </c>
      <c r="D70" s="120"/>
      <c r="E70" s="120"/>
      <c r="F70" s="120"/>
      <c r="G70" s="120"/>
      <c r="H70" s="120"/>
      <c r="J70" s="202"/>
      <c r="K70" s="222"/>
      <c r="L70" s="195"/>
      <c r="M70" s="449"/>
      <c r="N70" s="424"/>
    </row>
    <row r="71" spans="2:24" ht="13.95" customHeight="1" x14ac:dyDescent="0.3">
      <c r="B71" s="131" t="s">
        <v>101</v>
      </c>
      <c r="C71" s="156"/>
      <c r="D71" s="404">
        <v>1.2</v>
      </c>
      <c r="E71" s="212" t="s">
        <v>199</v>
      </c>
      <c r="G71" s="138"/>
      <c r="H71" s="138"/>
      <c r="J71" s="198">
        <f>J40</f>
        <v>0.02</v>
      </c>
      <c r="K71" s="222"/>
      <c r="L71" s="204">
        <f>D71*L40</f>
        <v>420000</v>
      </c>
      <c r="M71" s="475" t="s">
        <v>78</v>
      </c>
      <c r="N71" s="476"/>
    </row>
    <row r="72" spans="2:24" ht="21" customHeight="1" x14ac:dyDescent="0.3">
      <c r="B72" s="460" t="s">
        <v>102</v>
      </c>
      <c r="C72" s="461"/>
      <c r="D72" s="390">
        <v>20</v>
      </c>
      <c r="E72" s="314" t="s">
        <v>122</v>
      </c>
      <c r="F72" s="405">
        <v>0</v>
      </c>
      <c r="G72" s="138" t="s">
        <v>126</v>
      </c>
      <c r="H72" s="138"/>
      <c r="J72" s="206"/>
      <c r="K72" s="221"/>
      <c r="L72" s="204">
        <f>F72*D61</f>
        <v>0</v>
      </c>
      <c r="M72" s="475"/>
      <c r="N72" s="476"/>
    </row>
    <row r="73" spans="2:24" x14ac:dyDescent="0.3">
      <c r="B73" s="153" t="s">
        <v>103</v>
      </c>
      <c r="C73" s="120"/>
      <c r="D73" s="404">
        <v>0.9</v>
      </c>
      <c r="E73" s="212" t="s">
        <v>199</v>
      </c>
      <c r="G73" s="138"/>
      <c r="H73" s="138"/>
      <c r="J73" s="198">
        <f>J42</f>
        <v>2.2499999999999999E-2</v>
      </c>
      <c r="K73" s="221"/>
      <c r="L73" s="204">
        <f>D73*L42</f>
        <v>315000</v>
      </c>
      <c r="M73" s="475"/>
      <c r="N73" s="476"/>
    </row>
    <row r="74" spans="2:24" x14ac:dyDescent="0.3">
      <c r="B74" s="153"/>
      <c r="C74" s="120"/>
      <c r="D74" s="191"/>
      <c r="E74" s="142"/>
      <c r="F74" s="223"/>
      <c r="G74" s="154"/>
      <c r="H74" s="224" t="s">
        <v>125</v>
      </c>
      <c r="I74" s="225"/>
      <c r="J74" s="198"/>
      <c r="K74" s="221"/>
      <c r="L74" s="195"/>
      <c r="M74" s="450"/>
      <c r="N74" s="424"/>
    </row>
    <row r="75" spans="2:24" x14ac:dyDescent="0.3">
      <c r="B75" s="131" t="s">
        <v>113</v>
      </c>
      <c r="C75" s="120"/>
      <c r="D75" s="404">
        <v>0</v>
      </c>
      <c r="E75" s="212" t="s">
        <v>121</v>
      </c>
      <c r="H75" s="197">
        <f>D75*H45</f>
        <v>0</v>
      </c>
      <c r="I75" s="207"/>
      <c r="J75" s="198">
        <f>J45</f>
        <v>0.01</v>
      </c>
      <c r="K75" s="226"/>
      <c r="L75" s="204">
        <f>L45*D75</f>
        <v>0</v>
      </c>
      <c r="M75" s="451"/>
      <c r="N75" s="424"/>
    </row>
    <row r="76" spans="2:24" x14ac:dyDescent="0.3">
      <c r="B76" s="131" t="s">
        <v>114</v>
      </c>
      <c r="C76" s="120"/>
      <c r="D76" s="404">
        <v>0.8</v>
      </c>
      <c r="E76" s="212" t="s">
        <v>121</v>
      </c>
      <c r="H76" s="197">
        <f t="shared" ref="H76" si="3">D76*H46</f>
        <v>3248</v>
      </c>
      <c r="I76" s="207"/>
      <c r="J76" s="198">
        <f>J46</f>
        <v>0.01</v>
      </c>
      <c r="K76" s="226"/>
      <c r="L76" s="204">
        <f>L46*D76</f>
        <v>3248</v>
      </c>
      <c r="M76" s="451"/>
      <c r="N76" s="424"/>
    </row>
    <row r="77" spans="2:24" ht="22.5" customHeight="1" x14ac:dyDescent="0.3">
      <c r="B77" s="131" t="s">
        <v>115</v>
      </c>
      <c r="C77" s="156"/>
      <c r="D77" s="404">
        <v>1.3</v>
      </c>
      <c r="E77" s="212" t="s">
        <v>121</v>
      </c>
      <c r="H77" s="197">
        <f>D77*H47</f>
        <v>170690.52</v>
      </c>
      <c r="I77" s="207"/>
      <c r="J77" s="198">
        <f>J47</f>
        <v>5.0000000000000001E-3</v>
      </c>
      <c r="K77" s="226"/>
      <c r="L77" s="204">
        <f>L47*D77</f>
        <v>170690.52</v>
      </c>
      <c r="M77" s="475" t="s">
        <v>79</v>
      </c>
      <c r="N77" s="476"/>
    </row>
    <row r="78" spans="2:24" x14ac:dyDescent="0.3">
      <c r="B78" s="131"/>
      <c r="C78" s="156"/>
      <c r="D78" s="211"/>
      <c r="E78" s="212"/>
      <c r="I78" s="207"/>
      <c r="J78" s="198"/>
      <c r="K78" s="226"/>
      <c r="L78" s="204"/>
      <c r="M78" s="452"/>
      <c r="N78" s="453"/>
    </row>
    <row r="79" spans="2:24" x14ac:dyDescent="0.3">
      <c r="B79" s="131"/>
      <c r="C79" s="147" t="s">
        <v>107</v>
      </c>
      <c r="D79" s="211"/>
      <c r="E79" s="212"/>
      <c r="I79" s="207"/>
      <c r="J79" s="198"/>
      <c r="K79" s="226"/>
      <c r="L79" s="204"/>
      <c r="M79" s="452"/>
      <c r="N79" s="453"/>
    </row>
    <row r="80" spans="2:24" x14ac:dyDescent="0.3">
      <c r="B80" s="140" t="s">
        <v>108</v>
      </c>
      <c r="C80" s="156"/>
      <c r="D80" s="406">
        <v>0</v>
      </c>
      <c r="E80" s="212" t="s">
        <v>123</v>
      </c>
      <c r="F80" s="120"/>
      <c r="I80" s="207"/>
      <c r="J80" s="198"/>
      <c r="K80" s="226"/>
      <c r="L80" s="204"/>
      <c r="M80" s="454"/>
      <c r="N80" s="424"/>
    </row>
    <row r="81" spans="2:16" ht="23.25" customHeight="1" x14ac:dyDescent="0.3">
      <c r="B81" s="140" t="s">
        <v>109</v>
      </c>
      <c r="C81" s="156"/>
      <c r="D81" s="391">
        <v>5000</v>
      </c>
      <c r="E81" s="212" t="s">
        <v>124</v>
      </c>
      <c r="F81" s="120"/>
      <c r="I81" s="207"/>
      <c r="J81" s="407">
        <v>0.01</v>
      </c>
      <c r="K81" s="226"/>
      <c r="L81" s="204"/>
      <c r="M81" s="473" t="s">
        <v>225</v>
      </c>
      <c r="N81" s="474"/>
    </row>
    <row r="82" spans="2:16" x14ac:dyDescent="0.3">
      <c r="B82" s="213"/>
      <c r="C82" s="119"/>
      <c r="D82" s="119"/>
      <c r="E82" s="119"/>
      <c r="F82" s="119"/>
      <c r="G82" s="119"/>
      <c r="H82" s="119"/>
      <c r="I82" s="214"/>
      <c r="J82" s="214"/>
      <c r="K82" s="227"/>
      <c r="L82" s="215"/>
      <c r="M82" s="427"/>
      <c r="N82" s="442"/>
      <c r="O82" s="114"/>
    </row>
    <row r="83" spans="2:16" x14ac:dyDescent="0.3">
      <c r="B83" s="228"/>
      <c r="C83" s="174"/>
      <c r="D83" s="229"/>
      <c r="E83" s="142"/>
      <c r="I83" s="114"/>
      <c r="J83" s="228"/>
      <c r="K83" s="156"/>
      <c r="L83" s="156"/>
      <c r="M83" s="218"/>
      <c r="N83" s="217"/>
      <c r="O83" s="114"/>
    </row>
    <row r="84" spans="2:16" x14ac:dyDescent="0.3">
      <c r="B84" s="144"/>
      <c r="M84" s="216"/>
      <c r="N84" s="120"/>
      <c r="O84" s="114"/>
      <c r="P84" s="120"/>
    </row>
    <row r="92" spans="2:16" x14ac:dyDescent="0.3">
      <c r="O92" s="114"/>
      <c r="P92" s="120"/>
    </row>
    <row r="93" spans="2:16" x14ac:dyDescent="0.3">
      <c r="O93" s="114"/>
    </row>
    <row r="94" spans="2:16" x14ac:dyDescent="0.3">
      <c r="O94" s="114"/>
    </row>
    <row r="95" spans="2:16" x14ac:dyDescent="0.3">
      <c r="O95" s="114"/>
    </row>
    <row r="96" spans="2:16" x14ac:dyDescent="0.3">
      <c r="O96" s="114"/>
    </row>
    <row r="97" spans="13:15" x14ac:dyDescent="0.3">
      <c r="O97" s="114"/>
    </row>
    <row r="98" spans="13:15" x14ac:dyDescent="0.3">
      <c r="O98" s="114"/>
    </row>
    <row r="99" spans="13:15" x14ac:dyDescent="0.3">
      <c r="O99" s="114"/>
    </row>
    <row r="103" spans="13:15" s="114" customFormat="1" x14ac:dyDescent="0.3">
      <c r="M103" s="121"/>
    </row>
  </sheetData>
  <sheetProtection algorithmName="SHA-512" hashValue="8wNaYEdLiGfw7R9M72igqs1k6M2WTm/7Z7PMJFssTm7c2pkB5XEDm9ZxpnznQofvKhI3n8JECOk9gucIE7n9Ww==" saltValue="5+Jo6WrOiFKEqfV2CxqqpA==" spinCount="100000" sheet="1" objects="1" scenarios="1"/>
  <mergeCells count="27">
    <mergeCell ref="M81:N81"/>
    <mergeCell ref="M77:N77"/>
    <mergeCell ref="M13:N13"/>
    <mergeCell ref="M19:N19"/>
    <mergeCell ref="M20:N20"/>
    <mergeCell ref="M14:N14"/>
    <mergeCell ref="M45:N45"/>
    <mergeCell ref="M33:N35"/>
    <mergeCell ref="M41:N41"/>
    <mergeCell ref="M42:N43"/>
    <mergeCell ref="M40:N40"/>
    <mergeCell ref="M15:N17"/>
    <mergeCell ref="M71:N73"/>
    <mergeCell ref="E19:I20"/>
    <mergeCell ref="B14:C14"/>
    <mergeCell ref="M47:N47"/>
    <mergeCell ref="B18:C18"/>
    <mergeCell ref="B41:C41"/>
    <mergeCell ref="E26:J26"/>
    <mergeCell ref="B26:C26"/>
    <mergeCell ref="B72:C72"/>
    <mergeCell ref="C44:D44"/>
    <mergeCell ref="M64:N66"/>
    <mergeCell ref="M58:N59"/>
    <mergeCell ref="M27:N28"/>
    <mergeCell ref="E57:J57"/>
    <mergeCell ref="B57:C57"/>
  </mergeCells>
  <pageMargins left="0.7" right="0.7" top="0.75" bottom="0.75" header="0.3" footer="0.3"/>
  <pageSetup paperSize="8" scale="81" fitToHeight="0" orientation="portrait" r:id="rId1"/>
  <headerFooter>
    <oddFooter>&amp;C&amp;F</oddFooter>
  </headerFooter>
  <ignoredErrors>
    <ignoredError sqref="L7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X85"/>
  <sheetViews>
    <sheetView showGridLines="0" topLeftCell="A22" zoomScale="85" zoomScaleNormal="85" workbookViewId="0">
      <selection activeCell="AM36" sqref="AM36"/>
    </sheetView>
  </sheetViews>
  <sheetFormatPr defaultColWidth="8.88671875" defaultRowHeight="13.8" outlineLevelCol="1" x14ac:dyDescent="0.3"/>
  <cols>
    <col min="1" max="1" width="8.88671875" style="98"/>
    <col min="2" max="2" width="10.6640625" style="98" customWidth="1"/>
    <col min="3" max="3" width="24.5546875" style="98" customWidth="1"/>
    <col min="4" max="4" width="5.33203125" style="98" customWidth="1"/>
    <col min="5" max="5" width="12.109375" style="98" customWidth="1"/>
    <col min="6" max="6" width="17.6640625" style="98" bestFit="1" customWidth="1"/>
    <col min="7" max="7" width="2.88671875" style="98" customWidth="1"/>
    <col min="8" max="8" width="10.33203125" style="98" customWidth="1"/>
    <col min="9" max="9" width="12.6640625" style="98" bestFit="1" customWidth="1"/>
    <col min="10" max="10" width="12.6640625" style="98" customWidth="1"/>
    <col min="11" max="11" width="9.33203125" style="98" hidden="1" customWidth="1" outlineLevel="1"/>
    <col min="12" max="12" width="5" style="98" customWidth="1" collapsed="1"/>
    <col min="13" max="13" width="9.88671875" style="98" customWidth="1"/>
    <col min="14" max="14" width="25.88671875" style="98" customWidth="1"/>
    <col min="15" max="15" width="14.5546875" style="98" bestFit="1" customWidth="1"/>
    <col min="16" max="16" width="12" style="98" customWidth="1"/>
    <col min="17" max="17" width="10.109375" style="98" hidden="1" customWidth="1" outlineLevel="1"/>
    <col min="18" max="18" width="12" style="98" bestFit="1" customWidth="1" collapsed="1"/>
    <col min="19" max="19" width="10.6640625" style="98" hidden="1" customWidth="1" outlineLevel="1"/>
    <col min="20" max="26" width="8.88671875" style="98" hidden="1" customWidth="1" outlineLevel="1"/>
    <col min="27" max="27" width="9" style="98" hidden="1" customWidth="1" outlineLevel="1"/>
    <col min="28" max="29" width="10.33203125" style="98" hidden="1" customWidth="1" outlineLevel="1"/>
    <col min="30" max="30" width="9" style="98" hidden="1" customWidth="1" outlineLevel="1"/>
    <col min="31" max="32" width="8.88671875" style="98" hidden="1" customWidth="1" outlineLevel="1"/>
    <col min="33" max="33" width="9.6640625" style="98" hidden="1" customWidth="1" outlineLevel="1"/>
    <col min="34" max="37" width="8.88671875" style="98" hidden="1" customWidth="1" outlineLevel="1"/>
    <col min="38" max="38" width="8.88671875" style="98" collapsed="1"/>
    <col min="39" max="16384" width="8.88671875" style="98"/>
  </cols>
  <sheetData>
    <row r="1" spans="1:76" x14ac:dyDescent="0.3">
      <c r="C1" s="100"/>
      <c r="D1" s="101"/>
      <c r="E1" s="100"/>
      <c r="F1" s="100"/>
      <c r="G1" s="100"/>
      <c r="H1" s="101"/>
      <c r="I1" s="101"/>
      <c r="J1" s="102"/>
      <c r="K1" s="102"/>
      <c r="L1" s="102"/>
      <c r="M1" s="102"/>
    </row>
    <row r="2" spans="1:76" x14ac:dyDescent="0.3">
      <c r="A2" s="41"/>
      <c r="B2" s="5"/>
      <c r="C2" s="76" t="s">
        <v>54</v>
      </c>
      <c r="D2" s="34" t="s">
        <v>55</v>
      </c>
      <c r="E2" s="34"/>
      <c r="F2" s="34"/>
      <c r="G2" s="34"/>
      <c r="H2" s="34"/>
      <c r="I2" s="34"/>
      <c r="J2" s="34"/>
      <c r="K2" s="34"/>
      <c r="L2" s="34"/>
      <c r="M2" s="34"/>
      <c r="N2" s="34"/>
      <c r="O2" s="34"/>
      <c r="P2" s="105" t="s">
        <v>56</v>
      </c>
      <c r="Q2" s="230"/>
      <c r="R2" s="106" t="s">
        <v>57</v>
      </c>
      <c r="S2" s="144"/>
    </row>
    <row r="3" spans="1:76" x14ac:dyDescent="0.3">
      <c r="A3" s="41"/>
      <c r="B3" s="8"/>
      <c r="C3" s="77" t="s">
        <v>58</v>
      </c>
      <c r="D3" s="483">
        <v>16343801</v>
      </c>
      <c r="E3" s="483"/>
      <c r="F3" s="107"/>
      <c r="G3" s="107"/>
      <c r="H3" s="107"/>
      <c r="I3" s="107"/>
      <c r="J3" s="10"/>
      <c r="K3" s="107"/>
      <c r="L3" s="107"/>
      <c r="M3" s="107"/>
      <c r="N3" s="231"/>
      <c r="O3" s="107"/>
      <c r="P3" s="108" t="s">
        <v>59</v>
      </c>
      <c r="Q3" s="232"/>
      <c r="R3" s="328" t="s">
        <v>52</v>
      </c>
      <c r="AA3" s="188" t="str">
        <f>AA6</f>
        <v>Kantoorblok (max 6 lagen)</v>
      </c>
    </row>
    <row r="4" spans="1:76" x14ac:dyDescent="0.3">
      <c r="A4" s="41"/>
      <c r="B4" s="12"/>
      <c r="C4" s="78" t="s">
        <v>60</v>
      </c>
      <c r="D4" s="14" t="s">
        <v>61</v>
      </c>
      <c r="E4" s="14"/>
      <c r="F4" s="14"/>
      <c r="G4" s="14"/>
      <c r="H4" s="14"/>
      <c r="I4" s="14"/>
      <c r="J4" s="14"/>
      <c r="K4" s="14"/>
      <c r="L4" s="14"/>
      <c r="M4" s="14"/>
      <c r="N4" s="14"/>
      <c r="O4" s="14"/>
      <c r="P4" s="110" t="s">
        <v>0</v>
      </c>
      <c r="Q4" s="233"/>
      <c r="R4" s="111">
        <f>Startseite!N4</f>
        <v>43755</v>
      </c>
      <c r="S4" s="188"/>
      <c r="T4" s="188"/>
      <c r="U4" s="188"/>
      <c r="V4" s="188"/>
      <c r="W4" s="188"/>
      <c r="X4" s="188"/>
      <c r="Y4" s="188"/>
      <c r="AA4" s="188" t="str">
        <f>AE6</f>
        <v>Kantoorblok (tot 12 lagen)</v>
      </c>
    </row>
    <row r="5" spans="1:76" x14ac:dyDescent="0.3">
      <c r="D5" s="144"/>
      <c r="S5" s="188"/>
      <c r="T5" s="234"/>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row>
    <row r="6" spans="1:76" x14ac:dyDescent="0.25">
      <c r="B6" s="235"/>
      <c r="C6" s="236"/>
      <c r="D6" s="237"/>
      <c r="E6" s="238"/>
      <c r="F6" s="239"/>
      <c r="G6" s="240" t="s">
        <v>89</v>
      </c>
      <c r="H6" s="236"/>
      <c r="I6" s="241"/>
      <c r="J6" s="242"/>
      <c r="K6" s="243"/>
      <c r="L6" s="244"/>
      <c r="M6" s="245"/>
      <c r="N6" s="246" t="s">
        <v>110</v>
      </c>
      <c r="O6" s="128"/>
      <c r="P6" s="128"/>
      <c r="Q6" s="128"/>
      <c r="R6" s="247"/>
      <c r="T6" s="248" t="s">
        <v>22</v>
      </c>
      <c r="U6" s="172"/>
      <c r="V6" s="130"/>
      <c r="W6" s="248" t="s">
        <v>22</v>
      </c>
      <c r="X6" s="172"/>
      <c r="Y6" s="130"/>
      <c r="Z6" s="188"/>
      <c r="AA6" s="248" t="s">
        <v>21</v>
      </c>
      <c r="AB6" s="128"/>
      <c r="AC6" s="128"/>
      <c r="AD6" s="247"/>
      <c r="AE6" s="248" t="s">
        <v>23</v>
      </c>
      <c r="AF6" s="128"/>
      <c r="AG6" s="128"/>
      <c r="AH6" s="247"/>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row>
    <row r="7" spans="1:76" x14ac:dyDescent="0.25">
      <c r="B7" s="249"/>
      <c r="C7" s="250"/>
      <c r="D7" s="251"/>
      <c r="E7" s="152"/>
      <c r="F7" s="120"/>
      <c r="G7" s="252" t="s">
        <v>141</v>
      </c>
      <c r="H7" s="120"/>
      <c r="I7" s="389" t="s">
        <v>213</v>
      </c>
      <c r="J7" s="253"/>
      <c r="K7" s="254"/>
      <c r="L7" s="255"/>
      <c r="M7" s="256"/>
      <c r="N7" s="253" t="s">
        <v>141</v>
      </c>
      <c r="O7" s="388" t="s">
        <v>215</v>
      </c>
      <c r="P7" s="257"/>
      <c r="Q7" s="120"/>
      <c r="R7" s="152"/>
      <c r="T7" s="118" t="s">
        <v>32</v>
      </c>
      <c r="U7" s="138"/>
      <c r="V7" s="187"/>
      <c r="W7" s="118" t="s">
        <v>33</v>
      </c>
      <c r="X7" s="138"/>
      <c r="Y7" s="187"/>
      <c r="Z7" s="188"/>
      <c r="AA7" s="118"/>
      <c r="AB7" s="138" t="s">
        <v>213</v>
      </c>
      <c r="AC7" s="138" t="s">
        <v>214</v>
      </c>
      <c r="AD7" s="187" t="s">
        <v>215</v>
      </c>
      <c r="AE7" s="118"/>
      <c r="AF7" s="138" t="s">
        <v>213</v>
      </c>
      <c r="AG7" s="138" t="s">
        <v>214</v>
      </c>
      <c r="AH7" s="187" t="s">
        <v>215</v>
      </c>
      <c r="AI7" s="188"/>
      <c r="AJ7" s="144"/>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row>
    <row r="8" spans="1:76" hidden="1" x14ac:dyDescent="0.25">
      <c r="B8" s="249"/>
      <c r="C8" s="250"/>
      <c r="D8" s="251"/>
      <c r="E8" s="152"/>
      <c r="F8" s="120"/>
      <c r="G8" s="252" t="s">
        <v>24</v>
      </c>
      <c r="H8" s="182"/>
      <c r="I8" s="481" t="s">
        <v>23</v>
      </c>
      <c r="J8" s="481"/>
      <c r="K8" s="362"/>
      <c r="L8" s="363"/>
      <c r="M8" s="364"/>
      <c r="N8" s="362" t="s">
        <v>24</v>
      </c>
      <c r="O8" s="482" t="s">
        <v>23</v>
      </c>
      <c r="P8" s="482"/>
      <c r="Q8" s="120"/>
      <c r="R8" s="152"/>
      <c r="T8" s="118"/>
      <c r="U8" s="138"/>
      <c r="V8" s="187"/>
      <c r="W8" s="118"/>
      <c r="X8" s="138"/>
      <c r="Y8" s="187"/>
      <c r="Z8" s="188"/>
      <c r="AA8" s="118"/>
      <c r="AB8" s="138"/>
      <c r="AC8" s="138"/>
      <c r="AD8" s="187"/>
      <c r="AE8" s="118"/>
      <c r="AF8" s="138"/>
      <c r="AG8" s="138"/>
      <c r="AH8" s="187"/>
      <c r="AI8" s="188"/>
      <c r="AJ8" s="144"/>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row>
    <row r="9" spans="1:76" x14ac:dyDescent="0.25">
      <c r="B9" s="249"/>
      <c r="C9" s="250"/>
      <c r="D9" s="251"/>
      <c r="E9" s="152"/>
      <c r="F9" s="120"/>
      <c r="G9" s="258" t="s">
        <v>140</v>
      </c>
      <c r="H9" s="120"/>
      <c r="I9" s="120"/>
      <c r="J9" s="251">
        <f>'Eingabeblatt 1'!D30</f>
        <v>14000</v>
      </c>
      <c r="K9" s="259" t="s">
        <v>25</v>
      </c>
      <c r="L9" s="255"/>
      <c r="M9" s="146"/>
      <c r="N9" s="260" t="s">
        <v>142</v>
      </c>
      <c r="O9" s="120"/>
      <c r="P9" s="251">
        <f>'Eingabeblatt 1'!D61</f>
        <v>10250</v>
      </c>
      <c r="Q9" s="259" t="s">
        <v>25</v>
      </c>
      <c r="R9" s="459" t="s">
        <v>25</v>
      </c>
      <c r="T9" s="118"/>
      <c r="U9" s="138"/>
      <c r="V9" s="187"/>
      <c r="W9" s="118"/>
      <c r="X9" s="138"/>
      <c r="Y9" s="187"/>
      <c r="Z9" s="188"/>
      <c r="AA9" s="118"/>
      <c r="AB9" s="138"/>
      <c r="AC9" s="138"/>
      <c r="AD9" s="187"/>
      <c r="AE9" s="118"/>
      <c r="AF9" s="138"/>
      <c r="AG9" s="138"/>
      <c r="AH9" s="187"/>
      <c r="AI9" s="188"/>
      <c r="AJ9" s="144"/>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188"/>
      <c r="BK9" s="188"/>
      <c r="BL9" s="188"/>
      <c r="BM9" s="188"/>
      <c r="BN9" s="188"/>
      <c r="BO9" s="188"/>
      <c r="BP9" s="188"/>
      <c r="BQ9" s="188"/>
      <c r="BR9" s="188"/>
      <c r="BS9" s="188"/>
      <c r="BT9" s="188"/>
      <c r="BU9" s="188"/>
      <c r="BV9" s="188"/>
      <c r="BW9" s="188"/>
      <c r="BX9" s="188"/>
    </row>
    <row r="10" spans="1:76" ht="43.5" customHeight="1" x14ac:dyDescent="0.3">
      <c r="B10" s="146"/>
      <c r="C10" s="261" t="s">
        <v>139</v>
      </c>
      <c r="D10" s="262"/>
      <c r="E10" s="263" t="s">
        <v>134</v>
      </c>
      <c r="F10" s="264" t="s">
        <v>135</v>
      </c>
      <c r="G10" s="265"/>
      <c r="H10" s="266" t="s">
        <v>136</v>
      </c>
      <c r="I10" s="266" t="s">
        <v>7</v>
      </c>
      <c r="J10" s="267" t="s">
        <v>137</v>
      </c>
      <c r="K10" s="267" t="s">
        <v>137</v>
      </c>
      <c r="L10" s="269"/>
      <c r="M10" s="270" t="s">
        <v>138</v>
      </c>
      <c r="N10" s="266" t="s">
        <v>136</v>
      </c>
      <c r="O10" s="266" t="s">
        <v>7</v>
      </c>
      <c r="P10" s="267" t="s">
        <v>137</v>
      </c>
      <c r="Q10" s="268" t="s">
        <v>31</v>
      </c>
      <c r="R10" s="271"/>
      <c r="T10" s="146"/>
      <c r="U10" s="138" t="s">
        <v>34</v>
      </c>
      <c r="V10" s="187" t="s">
        <v>35</v>
      </c>
      <c r="W10" s="118"/>
      <c r="X10" s="138" t="s">
        <v>34</v>
      </c>
      <c r="Y10" s="187" t="s">
        <v>35</v>
      </c>
      <c r="AA10" s="146"/>
      <c r="AB10" s="138"/>
      <c r="AC10" s="120"/>
      <c r="AD10" s="152"/>
      <c r="AE10" s="118"/>
      <c r="AF10" s="138"/>
      <c r="AG10" s="138"/>
      <c r="AH10" s="187"/>
      <c r="AI10" s="188"/>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188"/>
      <c r="BK10" s="188"/>
      <c r="BL10" s="188"/>
      <c r="BM10" s="188"/>
      <c r="BN10" s="188"/>
      <c r="BO10" s="188"/>
      <c r="BP10" s="188"/>
      <c r="BQ10" s="188"/>
      <c r="BR10" s="188"/>
      <c r="BS10" s="188"/>
      <c r="BT10" s="188"/>
      <c r="BU10" s="188"/>
      <c r="BV10" s="188"/>
      <c r="BW10" s="188"/>
      <c r="BX10" s="188"/>
    </row>
    <row r="11" spans="1:76" ht="14.25" customHeight="1" x14ac:dyDescent="0.3">
      <c r="B11" s="146"/>
      <c r="C11" s="414" t="s">
        <v>202</v>
      </c>
      <c r="D11" s="262"/>
      <c r="E11" s="263"/>
      <c r="F11" s="264"/>
      <c r="G11" s="265"/>
      <c r="H11" s="266"/>
      <c r="I11" s="266"/>
      <c r="J11" s="267"/>
      <c r="K11" s="268"/>
      <c r="L11" s="269"/>
      <c r="M11" s="270"/>
      <c r="N11" s="266"/>
      <c r="O11" s="266"/>
      <c r="P11" s="267"/>
      <c r="Q11" s="268"/>
      <c r="R11" s="271"/>
      <c r="T11" s="146"/>
      <c r="U11" s="138"/>
      <c r="V11" s="187"/>
      <c r="W11" s="118"/>
      <c r="X11" s="138"/>
      <c r="Y11" s="187"/>
      <c r="AA11" s="146"/>
      <c r="AB11" s="138"/>
      <c r="AC11" s="120"/>
      <c r="AD11" s="152"/>
      <c r="AE11" s="118"/>
      <c r="AF11" s="138"/>
      <c r="AG11" s="138"/>
      <c r="AH11" s="187"/>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8"/>
      <c r="BX11" s="188"/>
    </row>
    <row r="12" spans="1:76" ht="14.25" customHeight="1" x14ac:dyDescent="0.3">
      <c r="B12" s="146"/>
      <c r="C12" s="415"/>
      <c r="D12" s="262"/>
      <c r="E12" s="263"/>
      <c r="F12" s="264"/>
      <c r="G12" s="265"/>
      <c r="H12" s="266"/>
      <c r="I12" s="266"/>
      <c r="J12" s="267"/>
      <c r="K12" s="268"/>
      <c r="L12" s="269"/>
      <c r="M12" s="270"/>
      <c r="N12" s="266"/>
      <c r="O12" s="266"/>
      <c r="P12" s="267"/>
      <c r="Q12" s="268"/>
      <c r="R12" s="271"/>
      <c r="T12" s="146"/>
      <c r="U12" s="138"/>
      <c r="V12" s="187"/>
      <c r="W12" s="118"/>
      <c r="X12" s="138"/>
      <c r="Y12" s="187"/>
      <c r="AA12" s="146"/>
      <c r="AB12" s="138"/>
      <c r="AC12" s="120"/>
      <c r="AD12" s="152"/>
      <c r="AE12" s="118"/>
      <c r="AF12" s="138"/>
      <c r="AG12" s="138"/>
      <c r="AH12" s="187"/>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188"/>
      <c r="BK12" s="188"/>
      <c r="BL12" s="188"/>
      <c r="BM12" s="188"/>
      <c r="BN12" s="188"/>
      <c r="BO12" s="188"/>
      <c r="BP12" s="188"/>
      <c r="BQ12" s="188"/>
      <c r="BR12" s="188"/>
      <c r="BS12" s="188"/>
      <c r="BT12" s="188"/>
      <c r="BU12" s="188"/>
      <c r="BV12" s="188"/>
      <c r="BW12" s="188"/>
      <c r="BX12" s="188"/>
    </row>
    <row r="13" spans="1:76" x14ac:dyDescent="0.3">
      <c r="B13" s="146"/>
      <c r="C13" s="272" t="s">
        <v>203</v>
      </c>
      <c r="D13" s="273"/>
      <c r="E13" s="274"/>
      <c r="F13" s="275"/>
      <c r="G13" s="276"/>
      <c r="H13" s="120"/>
      <c r="I13" s="120"/>
      <c r="J13" s="120"/>
      <c r="K13" s="120"/>
      <c r="L13" s="152"/>
      <c r="M13" s="146"/>
      <c r="N13" s="120"/>
      <c r="O13" s="120"/>
      <c r="P13" s="120"/>
      <c r="Q13" s="277"/>
      <c r="R13" s="152"/>
      <c r="T13" s="118">
        <f t="shared" ref="T13:T19" si="0">IF($I$8=$AA$6,U13,V13)</f>
        <v>38.58</v>
      </c>
      <c r="U13" s="138">
        <f t="shared" ref="U13:U19" si="1">IF($I$7=$AB$7,AB13,IF($I$7=$AC$7,AC13,AD13))</f>
        <v>52.86</v>
      </c>
      <c r="V13" s="187">
        <f t="shared" ref="V13:V19" si="2">IF($I$7=$AB$7,AF13,IF($I$7=$AC$7,AG13,AH13))</f>
        <v>38.58</v>
      </c>
      <c r="W13" s="118">
        <f>IF($O$8=$AA$6,X13,Y13)</f>
        <v>42.62</v>
      </c>
      <c r="X13" s="138">
        <f>IF($O$7=$AB$7,AB13,IF($O$7=$AC$7,AC13,AD13))</f>
        <v>57.56</v>
      </c>
      <c r="Y13" s="187">
        <f>IF($O$7=$AB$7,AF13,IF($O$7=$AC$7,AG13,AH13))</f>
        <v>42.62</v>
      </c>
      <c r="AA13" s="278" t="s">
        <v>8</v>
      </c>
      <c r="AB13" s="279">
        <v>52.86</v>
      </c>
      <c r="AC13" s="279">
        <v>55.28</v>
      </c>
      <c r="AD13" s="280">
        <v>57.56</v>
      </c>
      <c r="AE13" s="278" t="s">
        <v>8</v>
      </c>
      <c r="AF13" s="279">
        <v>38.58</v>
      </c>
      <c r="AG13" s="279">
        <v>41.43</v>
      </c>
      <c r="AH13" s="280">
        <v>42.62</v>
      </c>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188"/>
      <c r="BK13" s="188"/>
      <c r="BL13" s="188"/>
      <c r="BM13" s="188"/>
      <c r="BN13" s="188"/>
      <c r="BO13" s="188"/>
      <c r="BP13" s="188"/>
      <c r="BQ13" s="188"/>
      <c r="BR13" s="188"/>
      <c r="BS13" s="188"/>
      <c r="BT13" s="188"/>
      <c r="BU13" s="188"/>
      <c r="BV13" s="188"/>
      <c r="BW13" s="188"/>
      <c r="BX13" s="188"/>
    </row>
    <row r="14" spans="1:76" ht="14.4" x14ac:dyDescent="0.3">
      <c r="B14" s="146"/>
      <c r="C14" s="281" t="s">
        <v>200</v>
      </c>
      <c r="D14" s="282"/>
      <c r="E14" s="387">
        <v>40</v>
      </c>
      <c r="F14" s="382">
        <v>0</v>
      </c>
      <c r="G14" s="283"/>
      <c r="H14" s="284">
        <f>T13</f>
        <v>38.58</v>
      </c>
      <c r="I14" s="203">
        <f t="shared" ref="I14:I20" si="3">$J$9*H14</f>
        <v>540120</v>
      </c>
      <c r="J14" s="386">
        <v>0</v>
      </c>
      <c r="K14" s="284">
        <f>J14*I14</f>
        <v>0</v>
      </c>
      <c r="L14" s="274"/>
      <c r="M14" s="455">
        <v>1</v>
      </c>
      <c r="N14" s="284">
        <f>W13</f>
        <v>42.62</v>
      </c>
      <c r="O14" s="203">
        <f>$P$9*N14*M14</f>
        <v>436855</v>
      </c>
      <c r="P14" s="385">
        <v>0.01</v>
      </c>
      <c r="Q14" s="207">
        <f>P14*O14</f>
        <v>4368.55</v>
      </c>
      <c r="R14" s="285"/>
      <c r="T14" s="118">
        <f t="shared" si="0"/>
        <v>166.92</v>
      </c>
      <c r="U14" s="138">
        <f>IF($I$7=$AB$7,AB14,IF($I$7=$AC$7,AC14,AD14))</f>
        <v>132.43</v>
      </c>
      <c r="V14" s="187">
        <f t="shared" si="2"/>
        <v>166.92</v>
      </c>
      <c r="W14" s="118">
        <f t="shared" ref="W14:W19" si="4">IF($O$8=$AA$6,X14,Y14)</f>
        <v>215.22</v>
      </c>
      <c r="X14" s="138">
        <f>IF($O$7=$AB$7,AB14,IF($O$7=$AC$7,AC14,AD14))</f>
        <v>141.34</v>
      </c>
      <c r="Y14" s="187">
        <f t="shared" ref="Y14:Y31" si="5">IF($O$7=$AB$7,AF14,IF($O$7=$AC$7,AG14,AH14))</f>
        <v>215.22</v>
      </c>
      <c r="AA14" s="278" t="s">
        <v>9</v>
      </c>
      <c r="AB14" s="279">
        <v>132.43</v>
      </c>
      <c r="AC14" s="279">
        <v>136.77000000000001</v>
      </c>
      <c r="AD14" s="280">
        <v>141.34</v>
      </c>
      <c r="AE14" s="278" t="s">
        <v>9</v>
      </c>
      <c r="AF14" s="279">
        <v>166.92</v>
      </c>
      <c r="AG14" s="279">
        <v>185.66</v>
      </c>
      <c r="AH14" s="280">
        <v>215.22</v>
      </c>
      <c r="AI14" s="188"/>
      <c r="AJ14" s="234"/>
      <c r="AK14" s="188"/>
      <c r="AL14" s="188"/>
      <c r="AM14" s="188"/>
      <c r="AN14" s="188"/>
      <c r="AO14" s="188"/>
      <c r="AP14" s="188"/>
      <c r="AQ14" s="188"/>
      <c r="AR14" s="188"/>
      <c r="AS14" s="188"/>
      <c r="AT14" s="188"/>
      <c r="AU14" s="188"/>
      <c r="AV14" s="188"/>
      <c r="AW14" s="188"/>
      <c r="AX14" s="188"/>
      <c r="AY14" s="188"/>
      <c r="AZ14" s="188"/>
      <c r="BA14" s="188"/>
      <c r="BB14" s="188"/>
      <c r="BC14" s="188"/>
      <c r="BD14" s="188"/>
      <c r="BE14" s="188"/>
      <c r="BF14" s="188"/>
      <c r="BG14" s="188"/>
      <c r="BH14" s="188"/>
      <c r="BI14" s="188"/>
      <c r="BJ14" s="188"/>
      <c r="BK14" s="188"/>
      <c r="BL14" s="188"/>
      <c r="BM14" s="188"/>
      <c r="BN14" s="188"/>
      <c r="BO14" s="188"/>
      <c r="BP14" s="188"/>
      <c r="BQ14" s="188"/>
      <c r="BR14" s="188"/>
      <c r="BS14" s="188"/>
      <c r="BT14" s="188"/>
      <c r="BU14" s="188"/>
      <c r="BV14" s="188"/>
      <c r="BW14" s="188"/>
      <c r="BX14" s="188"/>
    </row>
    <row r="15" spans="1:76" ht="20.399999999999999" x14ac:dyDescent="0.3">
      <c r="B15" s="146"/>
      <c r="C15" s="416" t="s">
        <v>226</v>
      </c>
      <c r="D15" s="282"/>
      <c r="E15" s="387">
        <v>40</v>
      </c>
      <c r="F15" s="382">
        <v>0</v>
      </c>
      <c r="G15" s="283"/>
      <c r="H15" s="284">
        <f t="shared" ref="H15:H20" si="6">T14</f>
        <v>166.92</v>
      </c>
      <c r="I15" s="203">
        <f t="shared" si="3"/>
        <v>2336880</v>
      </c>
      <c r="J15" s="386">
        <v>0</v>
      </c>
      <c r="K15" s="284">
        <f t="shared" ref="K15:K20" si="7">J15*I15</f>
        <v>0</v>
      </c>
      <c r="L15" s="274"/>
      <c r="M15" s="455">
        <v>1</v>
      </c>
      <c r="N15" s="284">
        <f t="shared" ref="N15:N32" si="8">W14</f>
        <v>215.22</v>
      </c>
      <c r="O15" s="203">
        <f t="shared" ref="O15:O19" si="9">$P$9*N15*M15</f>
        <v>2206005</v>
      </c>
      <c r="P15" s="385">
        <v>0.01</v>
      </c>
      <c r="Q15" s="207">
        <f t="shared" ref="Q15:Q28" si="10">P15*O15</f>
        <v>22060.05</v>
      </c>
      <c r="R15" s="152"/>
      <c r="T15" s="118">
        <f t="shared" si="0"/>
        <v>172.98</v>
      </c>
      <c r="U15" s="138">
        <f t="shared" si="1"/>
        <v>168.71</v>
      </c>
      <c r="V15" s="187">
        <f t="shared" si="2"/>
        <v>172.98</v>
      </c>
      <c r="W15" s="118">
        <f t="shared" si="4"/>
        <v>276.60000000000002</v>
      </c>
      <c r="X15" s="138">
        <f t="shared" ref="X15:X19" si="11">IF($O$7=$AB$7,AB15,IF($O$7=$AC$7,AC15,AD15))</f>
        <v>222.75</v>
      </c>
      <c r="Y15" s="187">
        <f t="shared" si="5"/>
        <v>276.60000000000002</v>
      </c>
      <c r="AA15" s="278" t="s">
        <v>10</v>
      </c>
      <c r="AB15" s="279">
        <v>168.71</v>
      </c>
      <c r="AC15" s="279">
        <v>191.26</v>
      </c>
      <c r="AD15" s="280">
        <v>222.75</v>
      </c>
      <c r="AE15" s="278" t="s">
        <v>10</v>
      </c>
      <c r="AF15" s="279">
        <v>172.98</v>
      </c>
      <c r="AG15" s="279">
        <v>224.64</v>
      </c>
      <c r="AH15" s="280">
        <v>276.60000000000002</v>
      </c>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8"/>
      <c r="BU15" s="188"/>
      <c r="BV15" s="188"/>
      <c r="BW15" s="188"/>
      <c r="BX15" s="188"/>
    </row>
    <row r="16" spans="1:76" ht="14.4" x14ac:dyDescent="0.3">
      <c r="B16" s="146"/>
      <c r="C16" s="281" t="s">
        <v>201</v>
      </c>
      <c r="D16" s="282"/>
      <c r="E16" s="387">
        <v>20</v>
      </c>
      <c r="F16" s="382">
        <v>0.4</v>
      </c>
      <c r="G16" s="283"/>
      <c r="H16" s="284">
        <f t="shared" si="6"/>
        <v>172.98</v>
      </c>
      <c r="I16" s="203">
        <f>$J$9*H16</f>
        <v>2421720</v>
      </c>
      <c r="J16" s="386">
        <v>0</v>
      </c>
      <c r="K16" s="284">
        <f t="shared" si="7"/>
        <v>0</v>
      </c>
      <c r="L16" s="274"/>
      <c r="M16" s="455">
        <v>1.05</v>
      </c>
      <c r="N16" s="284">
        <f t="shared" si="8"/>
        <v>276.60000000000002</v>
      </c>
      <c r="O16" s="203">
        <f t="shared" si="9"/>
        <v>2976907.5000000005</v>
      </c>
      <c r="P16" s="385">
        <v>0.01</v>
      </c>
      <c r="Q16" s="207">
        <f t="shared" si="10"/>
        <v>29769.075000000004</v>
      </c>
      <c r="R16" s="152"/>
      <c r="T16" s="118">
        <f t="shared" si="0"/>
        <v>13.1</v>
      </c>
      <c r="U16" s="138">
        <f t="shared" si="1"/>
        <v>14.03</v>
      </c>
      <c r="V16" s="187">
        <f t="shared" si="2"/>
        <v>13.1</v>
      </c>
      <c r="W16" s="118">
        <f t="shared" si="4"/>
        <v>26.51</v>
      </c>
      <c r="X16" s="138">
        <f t="shared" si="11"/>
        <v>16.03</v>
      </c>
      <c r="Y16" s="187">
        <f t="shared" si="5"/>
        <v>26.51</v>
      </c>
      <c r="AA16" s="278" t="s">
        <v>11</v>
      </c>
      <c r="AB16" s="279">
        <v>14.03</v>
      </c>
      <c r="AC16" s="279">
        <v>14.93</v>
      </c>
      <c r="AD16" s="280">
        <v>16.03</v>
      </c>
      <c r="AE16" s="278" t="s">
        <v>11</v>
      </c>
      <c r="AF16" s="279">
        <v>13.1</v>
      </c>
      <c r="AG16" s="279">
        <v>22.57</v>
      </c>
      <c r="AH16" s="280">
        <v>26.51</v>
      </c>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8"/>
      <c r="BT16" s="188"/>
      <c r="BU16" s="188"/>
      <c r="BV16" s="188"/>
      <c r="BW16" s="188"/>
      <c r="BX16" s="188"/>
    </row>
    <row r="17" spans="2:76" ht="14.4" x14ac:dyDescent="0.3">
      <c r="B17" s="146"/>
      <c r="C17" s="281" t="s">
        <v>204</v>
      </c>
      <c r="D17" s="282"/>
      <c r="E17" s="387">
        <v>20</v>
      </c>
      <c r="F17" s="382">
        <v>0.5</v>
      </c>
      <c r="G17" s="283"/>
      <c r="H17" s="284">
        <f t="shared" si="6"/>
        <v>13.1</v>
      </c>
      <c r="I17" s="203">
        <f t="shared" si="3"/>
        <v>183400</v>
      </c>
      <c r="J17" s="386">
        <v>0</v>
      </c>
      <c r="K17" s="284">
        <f t="shared" si="7"/>
        <v>0</v>
      </c>
      <c r="L17" s="274"/>
      <c r="M17" s="455">
        <v>1.05</v>
      </c>
      <c r="N17" s="284">
        <f t="shared" si="8"/>
        <v>26.51</v>
      </c>
      <c r="O17" s="203">
        <f t="shared" si="9"/>
        <v>285313.875</v>
      </c>
      <c r="P17" s="385">
        <v>0.01</v>
      </c>
      <c r="Q17" s="207">
        <f t="shared" si="10"/>
        <v>2853.1387500000001</v>
      </c>
      <c r="R17" s="152"/>
      <c r="T17" s="118">
        <f t="shared" si="0"/>
        <v>113.82</v>
      </c>
      <c r="U17" s="138">
        <f t="shared" si="1"/>
        <v>44.84</v>
      </c>
      <c r="V17" s="187">
        <f t="shared" si="2"/>
        <v>113.82</v>
      </c>
      <c r="W17" s="118">
        <f t="shared" si="4"/>
        <v>130.62</v>
      </c>
      <c r="X17" s="138">
        <f t="shared" si="11"/>
        <v>55.25</v>
      </c>
      <c r="Y17" s="187">
        <f t="shared" si="5"/>
        <v>130.62</v>
      </c>
      <c r="AA17" s="278" t="s">
        <v>12</v>
      </c>
      <c r="AB17" s="279">
        <v>44.84</v>
      </c>
      <c r="AC17" s="279">
        <v>48.28</v>
      </c>
      <c r="AD17" s="280">
        <v>55.25</v>
      </c>
      <c r="AE17" s="278" t="s">
        <v>12</v>
      </c>
      <c r="AF17" s="279">
        <f>68.82+45</f>
        <v>113.82</v>
      </c>
      <c r="AG17" s="279">
        <f>75.37+45</f>
        <v>120.37</v>
      </c>
      <c r="AH17" s="280">
        <f>85.62+45</f>
        <v>130.62</v>
      </c>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row>
    <row r="18" spans="2:76" ht="14.4" x14ac:dyDescent="0.3">
      <c r="B18" s="146"/>
      <c r="C18" s="281" t="s">
        <v>205</v>
      </c>
      <c r="D18" s="282"/>
      <c r="E18" s="387">
        <v>10</v>
      </c>
      <c r="F18" s="382">
        <v>0.3</v>
      </c>
      <c r="G18" s="283"/>
      <c r="H18" s="284">
        <f t="shared" si="6"/>
        <v>113.82</v>
      </c>
      <c r="I18" s="203">
        <f t="shared" si="3"/>
        <v>1593480</v>
      </c>
      <c r="J18" s="386">
        <v>0</v>
      </c>
      <c r="K18" s="284">
        <f t="shared" si="7"/>
        <v>0</v>
      </c>
      <c r="L18" s="274"/>
      <c r="M18" s="455">
        <v>1.05</v>
      </c>
      <c r="N18" s="284">
        <f t="shared" si="8"/>
        <v>130.62</v>
      </c>
      <c r="O18" s="203">
        <f t="shared" si="9"/>
        <v>1405797.75</v>
      </c>
      <c r="P18" s="385">
        <v>0.01</v>
      </c>
      <c r="Q18" s="207">
        <f t="shared" si="10"/>
        <v>14057.977500000001</v>
      </c>
      <c r="R18" s="152"/>
      <c r="T18" s="118">
        <f t="shared" si="0"/>
        <v>139.88</v>
      </c>
      <c r="U18" s="138">
        <f t="shared" si="1"/>
        <v>85.8</v>
      </c>
      <c r="V18" s="187">
        <f t="shared" si="2"/>
        <v>139.88</v>
      </c>
      <c r="W18" s="118">
        <f t="shared" si="4"/>
        <v>172.67000000000002</v>
      </c>
      <c r="X18" s="138">
        <f t="shared" si="11"/>
        <v>100.14</v>
      </c>
      <c r="Y18" s="187">
        <f t="shared" si="5"/>
        <v>172.67000000000002</v>
      </c>
      <c r="AA18" s="278" t="s">
        <v>13</v>
      </c>
      <c r="AB18" s="279">
        <v>85.8</v>
      </c>
      <c r="AC18" s="279">
        <v>91.64</v>
      </c>
      <c r="AD18" s="280">
        <v>100.14</v>
      </c>
      <c r="AE18" s="278" t="s">
        <v>13</v>
      </c>
      <c r="AF18" s="279">
        <f>94.88+45</f>
        <v>139.88</v>
      </c>
      <c r="AG18" s="279">
        <f>107.49+45</f>
        <v>152.49</v>
      </c>
      <c r="AH18" s="280">
        <f>127.67+45</f>
        <v>172.67000000000002</v>
      </c>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188"/>
      <c r="BG18" s="188"/>
      <c r="BH18" s="188"/>
      <c r="BI18" s="188"/>
      <c r="BJ18" s="188"/>
      <c r="BK18" s="188"/>
      <c r="BL18" s="188"/>
      <c r="BM18" s="188"/>
      <c r="BN18" s="188"/>
      <c r="BO18" s="188"/>
      <c r="BP18" s="188"/>
      <c r="BQ18" s="188"/>
      <c r="BR18" s="188"/>
      <c r="BS18" s="188"/>
      <c r="BT18" s="188"/>
      <c r="BU18" s="188"/>
      <c r="BV18" s="188"/>
      <c r="BW18" s="188"/>
      <c r="BX18" s="188"/>
    </row>
    <row r="19" spans="2:76" ht="14.4" x14ac:dyDescent="0.3">
      <c r="B19" s="146"/>
      <c r="C19" s="281" t="s">
        <v>206</v>
      </c>
      <c r="D19" s="282"/>
      <c r="E19" s="387">
        <v>10</v>
      </c>
      <c r="F19" s="382">
        <v>0.4</v>
      </c>
      <c r="G19" s="283"/>
      <c r="H19" s="284">
        <f t="shared" si="6"/>
        <v>139.88</v>
      </c>
      <c r="I19" s="203">
        <f t="shared" si="3"/>
        <v>1958320</v>
      </c>
      <c r="J19" s="386">
        <v>0</v>
      </c>
      <c r="K19" s="284">
        <f t="shared" si="7"/>
        <v>0</v>
      </c>
      <c r="L19" s="274"/>
      <c r="M19" s="455">
        <v>1.05</v>
      </c>
      <c r="N19" s="284">
        <f t="shared" si="8"/>
        <v>172.67000000000002</v>
      </c>
      <c r="O19" s="203">
        <f t="shared" si="9"/>
        <v>1858360.8750000002</v>
      </c>
      <c r="P19" s="385">
        <v>0.01</v>
      </c>
      <c r="Q19" s="207">
        <f t="shared" si="10"/>
        <v>18583.608750000003</v>
      </c>
      <c r="R19" s="152"/>
      <c r="T19" s="118">
        <f t="shared" si="0"/>
        <v>13.5</v>
      </c>
      <c r="U19" s="138">
        <f t="shared" si="1"/>
        <v>11.86</v>
      </c>
      <c r="V19" s="187">
        <f t="shared" si="2"/>
        <v>13.5</v>
      </c>
      <c r="W19" s="118">
        <f t="shared" si="4"/>
        <v>16.829999999999998</v>
      </c>
      <c r="X19" s="138">
        <f t="shared" si="11"/>
        <v>16.23</v>
      </c>
      <c r="Y19" s="187">
        <f t="shared" si="5"/>
        <v>16.829999999999998</v>
      </c>
      <c r="AA19" s="278" t="s">
        <v>14</v>
      </c>
      <c r="AB19" s="279">
        <v>11.86</v>
      </c>
      <c r="AC19" s="279">
        <v>13.31</v>
      </c>
      <c r="AD19" s="280">
        <v>16.23</v>
      </c>
      <c r="AE19" s="278" t="s">
        <v>14</v>
      </c>
      <c r="AF19" s="279">
        <v>13.5</v>
      </c>
      <c r="AG19" s="279">
        <v>14.48</v>
      </c>
      <c r="AH19" s="280">
        <v>16.829999999999998</v>
      </c>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row>
    <row r="20" spans="2:76" ht="14.4" x14ac:dyDescent="0.3">
      <c r="B20" s="146"/>
      <c r="C20" s="281" t="s">
        <v>209</v>
      </c>
      <c r="D20" s="282"/>
      <c r="E20" s="387">
        <v>10</v>
      </c>
      <c r="F20" s="382">
        <v>0.3</v>
      </c>
      <c r="G20" s="283"/>
      <c r="H20" s="284">
        <f t="shared" si="6"/>
        <v>13.5</v>
      </c>
      <c r="I20" s="203">
        <f t="shared" si="3"/>
        <v>189000</v>
      </c>
      <c r="J20" s="386">
        <v>0</v>
      </c>
      <c r="K20" s="284">
        <f t="shared" si="7"/>
        <v>0</v>
      </c>
      <c r="L20" s="274"/>
      <c r="M20" s="455">
        <v>1.05</v>
      </c>
      <c r="N20" s="284">
        <f t="shared" si="8"/>
        <v>16.829999999999998</v>
      </c>
      <c r="O20" s="203">
        <f>$P$9*N20*M20</f>
        <v>181132.87499999997</v>
      </c>
      <c r="P20" s="385">
        <v>0.01</v>
      </c>
      <c r="Q20" s="207">
        <f t="shared" si="10"/>
        <v>1811.3287499999997</v>
      </c>
      <c r="R20" s="152"/>
      <c r="T20" s="118"/>
      <c r="U20" s="138"/>
      <c r="V20" s="187"/>
      <c r="W20" s="118"/>
      <c r="X20" s="138"/>
      <c r="Y20" s="187"/>
      <c r="AA20" s="118"/>
      <c r="AB20" s="279"/>
      <c r="AC20" s="279"/>
      <c r="AD20" s="280"/>
      <c r="AE20" s="118"/>
      <c r="AF20" s="279"/>
      <c r="AG20" s="279"/>
      <c r="AH20" s="280"/>
      <c r="AI20" s="188"/>
      <c r="AJ20" s="188"/>
      <c r="AK20" s="188"/>
      <c r="AL20" s="188"/>
      <c r="AM20" s="188"/>
      <c r="AN20" s="188"/>
      <c r="AO20" s="188"/>
      <c r="AP20" s="188"/>
      <c r="AQ20" s="188"/>
      <c r="AR20" s="188"/>
      <c r="AS20" s="188"/>
      <c r="AT20" s="188"/>
      <c r="AU20" s="188"/>
      <c r="AV20" s="188"/>
      <c r="AW20" s="188"/>
      <c r="AX20" s="188"/>
      <c r="AY20" s="188"/>
      <c r="AZ20" s="188"/>
      <c r="BA20" s="188"/>
      <c r="BB20" s="188"/>
      <c r="BC20" s="188"/>
      <c r="BD20" s="188"/>
      <c r="BE20" s="188"/>
      <c r="BF20" s="188"/>
      <c r="BG20" s="188"/>
      <c r="BH20" s="188"/>
      <c r="BI20" s="188"/>
      <c r="BJ20" s="188"/>
      <c r="BK20" s="188"/>
      <c r="BL20" s="188"/>
      <c r="BM20" s="188"/>
      <c r="BN20" s="188"/>
      <c r="BO20" s="188"/>
      <c r="BP20" s="188"/>
      <c r="BQ20" s="188"/>
      <c r="BR20" s="188"/>
      <c r="BS20" s="188"/>
      <c r="BT20" s="188"/>
      <c r="BU20" s="188"/>
      <c r="BV20" s="188"/>
      <c r="BW20" s="188"/>
      <c r="BX20" s="188"/>
    </row>
    <row r="21" spans="2:76" ht="14.4" x14ac:dyDescent="0.3">
      <c r="B21" s="146"/>
      <c r="C21" s="286" t="s">
        <v>227</v>
      </c>
      <c r="D21" s="282"/>
      <c r="E21" s="287"/>
      <c r="F21" s="275"/>
      <c r="G21" s="283"/>
      <c r="H21" s="288"/>
      <c r="I21" s="266">
        <f>SUM(I14:I20)</f>
        <v>9222920</v>
      </c>
      <c r="J21" s="120"/>
      <c r="K21" s="288"/>
      <c r="L21" s="274"/>
      <c r="M21" s="289"/>
      <c r="N21" s="284"/>
      <c r="O21" s="266">
        <f>SUM(O14:O20)</f>
        <v>9350372.875</v>
      </c>
      <c r="P21" s="138"/>
      <c r="Q21" s="207"/>
      <c r="R21" s="152"/>
      <c r="T21" s="118"/>
      <c r="U21" s="138"/>
      <c r="V21" s="187"/>
      <c r="W21" s="118"/>
      <c r="X21" s="138"/>
      <c r="Y21" s="187"/>
      <c r="AA21" s="118"/>
      <c r="AB21" s="138"/>
      <c r="AC21" s="138"/>
      <c r="AD21" s="187"/>
      <c r="AE21" s="118"/>
      <c r="AF21" s="138"/>
      <c r="AG21" s="138"/>
      <c r="AH21" s="187"/>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8"/>
      <c r="BR21" s="188"/>
      <c r="BS21" s="188"/>
      <c r="BT21" s="188"/>
      <c r="BU21" s="188"/>
      <c r="BV21" s="188"/>
      <c r="BW21" s="188"/>
      <c r="BX21" s="188"/>
    </row>
    <row r="22" spans="2:76" x14ac:dyDescent="0.3">
      <c r="B22" s="146"/>
      <c r="C22" s="290"/>
      <c r="D22" s="273"/>
      <c r="E22" s="291"/>
      <c r="F22" s="275"/>
      <c r="G22" s="292"/>
      <c r="H22" s="284"/>
      <c r="I22" s="284"/>
      <c r="J22" s="120"/>
      <c r="K22" s="288"/>
      <c r="L22" s="274"/>
      <c r="M22" s="289"/>
      <c r="N22" s="284"/>
      <c r="O22" s="284"/>
      <c r="P22" s="138"/>
      <c r="Q22" s="207"/>
      <c r="R22" s="152"/>
      <c r="T22" s="118"/>
      <c r="U22" s="138"/>
      <c r="V22" s="187"/>
      <c r="W22" s="118"/>
      <c r="X22" s="138"/>
      <c r="Y22" s="187"/>
      <c r="AA22" s="118"/>
      <c r="AB22" s="138"/>
      <c r="AC22" s="138"/>
      <c r="AD22" s="187"/>
      <c r="AE22" s="118"/>
      <c r="AF22" s="138"/>
      <c r="AG22" s="138"/>
      <c r="AH22" s="187"/>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8"/>
      <c r="BN22" s="188"/>
      <c r="BO22" s="188"/>
      <c r="BP22" s="188"/>
      <c r="BQ22" s="188"/>
      <c r="BR22" s="188"/>
      <c r="BS22" s="188"/>
      <c r="BT22" s="188"/>
      <c r="BU22" s="188"/>
      <c r="BV22" s="188"/>
      <c r="BW22" s="188"/>
      <c r="BX22" s="188"/>
    </row>
    <row r="23" spans="2:76" ht="14.4" x14ac:dyDescent="0.3">
      <c r="B23" s="146"/>
      <c r="C23" s="272" t="s">
        <v>207</v>
      </c>
      <c r="D23" s="273"/>
      <c r="E23" s="291"/>
      <c r="F23" s="275"/>
      <c r="G23" s="292"/>
      <c r="H23" s="284"/>
      <c r="I23" s="284"/>
      <c r="J23" s="120"/>
      <c r="K23" s="288"/>
      <c r="L23" s="274"/>
      <c r="M23" s="289"/>
      <c r="N23" s="284"/>
      <c r="O23" s="284"/>
      <c r="P23" s="138"/>
      <c r="Q23" s="207"/>
      <c r="R23" s="152"/>
      <c r="T23" s="118">
        <f>IF($I$8=$AA$6,U23,V23)</f>
        <v>42.61</v>
      </c>
      <c r="U23" s="138">
        <f>IF($I$7=$AB$7,AB23,IF($I$7=$AC$7,AC23,AD23))</f>
        <v>37.32</v>
      </c>
      <c r="V23" s="187">
        <f>IF($I$7=$AB$7,AF23,IF($I$7=$AC$7,AG23,AH23))</f>
        <v>42.61</v>
      </c>
      <c r="W23" s="118">
        <f>IF($O$8=$AA$6,X23,Y23)</f>
        <v>52.52</v>
      </c>
      <c r="X23" s="138">
        <f>IF($O$7=$AB$7,AB23,IF($O$7=$AC$7,AC23,AD23))</f>
        <v>42.77</v>
      </c>
      <c r="Y23" s="187">
        <f t="shared" si="5"/>
        <v>52.52</v>
      </c>
      <c r="AA23" s="278" t="s">
        <v>15</v>
      </c>
      <c r="AB23" s="279">
        <v>37.32</v>
      </c>
      <c r="AC23" s="279">
        <v>38.869999999999997</v>
      </c>
      <c r="AD23" s="280">
        <v>42.77</v>
      </c>
      <c r="AE23" s="278" t="s">
        <v>15</v>
      </c>
      <c r="AF23" s="279">
        <v>42.61</v>
      </c>
      <c r="AG23" s="279">
        <v>46.67</v>
      </c>
      <c r="AH23" s="280">
        <v>52.52</v>
      </c>
      <c r="AI23" s="188"/>
      <c r="AJ23" s="188"/>
      <c r="AK23" s="175"/>
      <c r="AL23" s="188"/>
      <c r="AM23" s="188"/>
      <c r="AN23" s="188"/>
      <c r="AO23" s="188"/>
      <c r="AP23" s="188"/>
      <c r="AQ23" s="188"/>
      <c r="AR23" s="188"/>
      <c r="AS23" s="188"/>
      <c r="AT23" s="188"/>
      <c r="AU23" s="188"/>
      <c r="AV23" s="188"/>
      <c r="AW23" s="188"/>
      <c r="AX23" s="188"/>
      <c r="AY23" s="188"/>
      <c r="AZ23" s="188"/>
      <c r="BA23" s="188"/>
      <c r="BB23" s="188"/>
      <c r="BC23" s="188"/>
      <c r="BD23" s="188"/>
      <c r="BE23" s="188"/>
      <c r="BF23" s="188"/>
      <c r="BG23" s="188"/>
      <c r="BH23" s="188"/>
      <c r="BI23" s="188"/>
      <c r="BJ23" s="188"/>
      <c r="BK23" s="188"/>
      <c r="BL23" s="188"/>
      <c r="BM23" s="188"/>
      <c r="BN23" s="188"/>
      <c r="BO23" s="188"/>
      <c r="BP23" s="188"/>
      <c r="BQ23" s="188"/>
      <c r="BR23" s="188"/>
      <c r="BS23" s="188"/>
      <c r="BT23" s="188"/>
      <c r="BU23" s="188"/>
      <c r="BV23" s="188"/>
      <c r="BW23" s="188"/>
      <c r="BX23" s="188"/>
    </row>
    <row r="24" spans="2:76" ht="14.4" x14ac:dyDescent="0.3">
      <c r="B24" s="146"/>
      <c r="C24" s="281" t="s">
        <v>210</v>
      </c>
      <c r="D24" s="282"/>
      <c r="E24" s="387">
        <v>20</v>
      </c>
      <c r="F24" s="382">
        <v>0.4</v>
      </c>
      <c r="G24" s="283"/>
      <c r="H24" s="284">
        <f>T23</f>
        <v>42.61</v>
      </c>
      <c r="I24" s="203">
        <f>$J$9*H24</f>
        <v>596540</v>
      </c>
      <c r="J24" s="386">
        <v>0</v>
      </c>
      <c r="K24" s="284">
        <f>J24*I24</f>
        <v>0</v>
      </c>
      <c r="L24" s="274"/>
      <c r="M24" s="456">
        <v>1.1000000000000001</v>
      </c>
      <c r="N24" s="284">
        <f t="shared" si="8"/>
        <v>52.52</v>
      </c>
      <c r="O24" s="203">
        <f>$P$9*N24*M24</f>
        <v>592163</v>
      </c>
      <c r="P24" s="385">
        <v>0.05</v>
      </c>
      <c r="Q24" s="207">
        <f t="shared" si="10"/>
        <v>29608.15</v>
      </c>
      <c r="R24" s="152"/>
      <c r="T24" s="118">
        <f>IF($I$8=$AA$6,U24,V24)</f>
        <v>248.67</v>
      </c>
      <c r="U24" s="138">
        <f>IF($I$7=$AB$7,AB24,IF($I$7=$AC$7,AC24,AD24))</f>
        <v>186.44</v>
      </c>
      <c r="V24" s="187">
        <f>IF($I$7=$AB$7,AF24,IF($I$7=$AC$7,AG24,AH24))</f>
        <v>248.67</v>
      </c>
      <c r="W24" s="118">
        <f t="shared" ref="W24:W26" si="12">IF($O$8=$AA$6,X24,Y24)</f>
        <v>335.65</v>
      </c>
      <c r="X24" s="138">
        <f>IF($O$7=$AB$7,AB24,IF($O$7=$AC$7,AC24,AD24))</f>
        <v>256.64999999999998</v>
      </c>
      <c r="Y24" s="187">
        <f t="shared" si="5"/>
        <v>335.65</v>
      </c>
      <c r="AA24" s="278" t="s">
        <v>16</v>
      </c>
      <c r="AB24" s="279">
        <v>186.44</v>
      </c>
      <c r="AC24" s="279">
        <v>200.45</v>
      </c>
      <c r="AD24" s="280">
        <v>256.64999999999998</v>
      </c>
      <c r="AE24" s="278" t="s">
        <v>16</v>
      </c>
      <c r="AF24" s="279">
        <f>217.07+(AK24*40%)</f>
        <v>248.67</v>
      </c>
      <c r="AG24" s="279">
        <f>233.56+(AK24*60%)</f>
        <v>280.95999999999998</v>
      </c>
      <c r="AH24" s="280">
        <f>256.65+(AK24*100%)</f>
        <v>335.65</v>
      </c>
      <c r="AI24" s="188" t="s">
        <v>53</v>
      </c>
      <c r="AJ24" s="188"/>
      <c r="AK24" s="175">
        <v>79</v>
      </c>
      <c r="AL24" s="188"/>
      <c r="AM24" s="188"/>
      <c r="AN24" s="188"/>
      <c r="AO24" s="188"/>
      <c r="AP24" s="188"/>
      <c r="AQ24" s="188"/>
      <c r="AR24" s="188"/>
      <c r="AS24" s="188"/>
      <c r="AT24" s="188"/>
      <c r="AU24" s="188"/>
      <c r="AV24" s="188"/>
      <c r="AW24" s="188"/>
      <c r="AX24" s="188"/>
      <c r="AY24" s="188"/>
      <c r="AZ24" s="188"/>
      <c r="BA24" s="188"/>
      <c r="BB24" s="188"/>
      <c r="BC24" s="188"/>
      <c r="BD24" s="188"/>
      <c r="BE24" s="188"/>
      <c r="BF24" s="188"/>
      <c r="BG24" s="188"/>
      <c r="BH24" s="188"/>
      <c r="BI24" s="188"/>
      <c r="BJ24" s="188"/>
      <c r="BK24" s="188"/>
      <c r="BL24" s="188"/>
      <c r="BM24" s="188"/>
      <c r="BN24" s="188"/>
      <c r="BO24" s="188"/>
      <c r="BP24" s="188"/>
      <c r="BQ24" s="188"/>
      <c r="BR24" s="188"/>
      <c r="BS24" s="188"/>
      <c r="BT24" s="188"/>
      <c r="BU24" s="188"/>
      <c r="BV24" s="188"/>
      <c r="BW24" s="188"/>
      <c r="BX24" s="188"/>
    </row>
    <row r="25" spans="2:76" ht="14.4" x14ac:dyDescent="0.3">
      <c r="B25" s="146"/>
      <c r="C25" s="281" t="s">
        <v>154</v>
      </c>
      <c r="D25" s="282"/>
      <c r="E25" s="387">
        <v>20</v>
      </c>
      <c r="F25" s="382">
        <v>0.5</v>
      </c>
      <c r="G25" s="283"/>
      <c r="H25" s="284">
        <f>T24</f>
        <v>248.67</v>
      </c>
      <c r="I25" s="203">
        <f>$J$9*H25</f>
        <v>3481380</v>
      </c>
      <c r="J25" s="386">
        <v>0</v>
      </c>
      <c r="K25" s="284">
        <f t="shared" ref="K25:K28" si="13">J25*I25</f>
        <v>0</v>
      </c>
      <c r="L25" s="274"/>
      <c r="M25" s="456">
        <v>1.1000000000000001</v>
      </c>
      <c r="N25" s="284">
        <f t="shared" si="8"/>
        <v>335.65</v>
      </c>
      <c r="O25" s="203">
        <f t="shared" ref="O25:O28" si="14">$P$9*N25*M25</f>
        <v>3784453.75</v>
      </c>
      <c r="P25" s="385">
        <v>0.05</v>
      </c>
      <c r="Q25" s="207">
        <f t="shared" si="10"/>
        <v>189222.6875</v>
      </c>
      <c r="R25" s="152"/>
      <c r="T25" s="118">
        <f>IF($I$8=$AA$6,U25,V25)</f>
        <v>141.72</v>
      </c>
      <c r="U25" s="138">
        <f>IF($I$7=$AB$7,AB25,IF($I$7=$AC$7,AC25,AD25))</f>
        <v>150.22</v>
      </c>
      <c r="V25" s="187">
        <f>IF($I$7=$AB$7,AF25,IF($I$7=$AC$7,AG25,AH25))</f>
        <v>141.72</v>
      </c>
      <c r="W25" s="118">
        <f t="shared" si="12"/>
        <v>172.79</v>
      </c>
      <c r="X25" s="138">
        <f>IF($O$7=$AB$7,AB25,IF($O$7=$AC$7,AC25,AD25))</f>
        <v>183.79</v>
      </c>
      <c r="Y25" s="187">
        <f t="shared" si="5"/>
        <v>172.79</v>
      </c>
      <c r="AA25" s="278" t="s">
        <v>17</v>
      </c>
      <c r="AB25" s="279">
        <v>150.22</v>
      </c>
      <c r="AC25" s="279">
        <v>160.30000000000001</v>
      </c>
      <c r="AD25" s="280">
        <v>183.79</v>
      </c>
      <c r="AE25" s="278" t="s">
        <v>17</v>
      </c>
      <c r="AF25" s="279">
        <v>141.72</v>
      </c>
      <c r="AG25" s="279">
        <v>150.44999999999999</v>
      </c>
      <c r="AH25" s="280">
        <v>172.79</v>
      </c>
      <c r="AI25" s="188"/>
      <c r="AJ25" s="188"/>
      <c r="AK25" s="175"/>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c r="BS25" s="188"/>
      <c r="BT25" s="188"/>
      <c r="BU25" s="188"/>
      <c r="BV25" s="188"/>
      <c r="BW25" s="188"/>
      <c r="BX25" s="188"/>
    </row>
    <row r="26" spans="2:76" ht="14.4" x14ac:dyDescent="0.3">
      <c r="B26" s="146"/>
      <c r="C26" s="281" t="s">
        <v>211</v>
      </c>
      <c r="D26" s="282"/>
      <c r="E26" s="387">
        <v>20</v>
      </c>
      <c r="F26" s="382">
        <v>0.5</v>
      </c>
      <c r="G26" s="283"/>
      <c r="H26" s="284">
        <f>T25</f>
        <v>141.72</v>
      </c>
      <c r="I26" s="203">
        <f>$J$9*H26</f>
        <v>1984080</v>
      </c>
      <c r="J26" s="386">
        <v>0</v>
      </c>
      <c r="K26" s="284">
        <f t="shared" si="13"/>
        <v>0</v>
      </c>
      <c r="L26" s="274"/>
      <c r="M26" s="456">
        <v>1.25</v>
      </c>
      <c r="N26" s="284">
        <f t="shared" si="8"/>
        <v>172.79</v>
      </c>
      <c r="O26" s="203">
        <f t="shared" si="14"/>
        <v>2213871.875</v>
      </c>
      <c r="P26" s="385">
        <v>0.05</v>
      </c>
      <c r="Q26" s="207">
        <f t="shared" si="10"/>
        <v>110693.59375</v>
      </c>
      <c r="R26" s="152"/>
      <c r="T26" s="118">
        <f>IF($I$8=$AA$6,U26,V26)</f>
        <v>26</v>
      </c>
      <c r="U26" s="138">
        <f>IF($I$7=$AB$7,AB26,IF($I$7=$AC$7,AC26,AD26))</f>
        <v>21.32</v>
      </c>
      <c r="V26" s="187">
        <f>IF($I$7=$AB$7,AF26,IF($I$7=$AC$7,AG26,AH26))</f>
        <v>26</v>
      </c>
      <c r="W26" s="118">
        <f t="shared" si="12"/>
        <v>52.78</v>
      </c>
      <c r="X26" s="138">
        <f>IF($O$7=$AB$7,AB26,IF($O$7=$AC$7,AC26,AD26))</f>
        <v>57.69</v>
      </c>
      <c r="Y26" s="187">
        <f t="shared" si="5"/>
        <v>52.78</v>
      </c>
      <c r="AA26" s="278" t="s">
        <v>18</v>
      </c>
      <c r="AB26" s="279">
        <v>21.32</v>
      </c>
      <c r="AC26" s="279">
        <v>44.08</v>
      </c>
      <c r="AD26" s="280">
        <v>57.69</v>
      </c>
      <c r="AE26" s="278" t="s">
        <v>18</v>
      </c>
      <c r="AF26" s="279">
        <v>26</v>
      </c>
      <c r="AG26" s="279">
        <v>26.88</v>
      </c>
      <c r="AH26" s="280">
        <v>52.78</v>
      </c>
      <c r="AI26" s="188"/>
      <c r="AJ26" s="188"/>
      <c r="AK26" s="175"/>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8"/>
      <c r="BP26" s="188"/>
      <c r="BQ26" s="188"/>
      <c r="BR26" s="188"/>
      <c r="BS26" s="188"/>
      <c r="BT26" s="188"/>
      <c r="BU26" s="188"/>
      <c r="BV26" s="188"/>
      <c r="BW26" s="188"/>
      <c r="BX26" s="188"/>
    </row>
    <row r="27" spans="2:76" ht="14.4" x14ac:dyDescent="0.3">
      <c r="B27" s="146"/>
      <c r="C27" s="281" t="s">
        <v>155</v>
      </c>
      <c r="D27" s="282"/>
      <c r="E27" s="387">
        <v>20</v>
      </c>
      <c r="F27" s="382">
        <v>0.3</v>
      </c>
      <c r="G27" s="283"/>
      <c r="H27" s="284">
        <f>T26</f>
        <v>26</v>
      </c>
      <c r="I27" s="203">
        <f>$J$9*H27</f>
        <v>364000</v>
      </c>
      <c r="J27" s="386">
        <v>0</v>
      </c>
      <c r="K27" s="284">
        <f t="shared" si="13"/>
        <v>0</v>
      </c>
      <c r="L27" s="274"/>
      <c r="M27" s="456">
        <v>1.05</v>
      </c>
      <c r="N27" s="284">
        <f t="shared" si="8"/>
        <v>52.78</v>
      </c>
      <c r="O27" s="203">
        <f t="shared" si="14"/>
        <v>568044.75</v>
      </c>
      <c r="P27" s="385">
        <v>0.05</v>
      </c>
      <c r="Q27" s="207">
        <f t="shared" si="10"/>
        <v>28402.237500000003</v>
      </c>
      <c r="R27" s="152"/>
      <c r="T27" s="118">
        <f>IF($I$8=$AA$6,U27,V27)</f>
        <v>18.75</v>
      </c>
      <c r="U27" s="138">
        <f>IF($I$7=$AB$7,AB27,IF($I$7=$AC$7,AC27,AD27))</f>
        <v>0</v>
      </c>
      <c r="V27" s="187">
        <f>IF($I$7=$AB$7,AF27,IF($I$7=$AC$7,AG27,AH27))</f>
        <v>18.75</v>
      </c>
      <c r="W27" s="118">
        <f>IF($O$8=$AA$6,X27,Y27)</f>
        <v>21.77</v>
      </c>
      <c r="X27" s="138">
        <f>IF($O$7=$AB$7,AB27,IF($O$7=$AC$7,AC27,AD27))</f>
        <v>0</v>
      </c>
      <c r="Y27" s="187">
        <f t="shared" si="5"/>
        <v>21.77</v>
      </c>
      <c r="AA27" s="278"/>
      <c r="AB27" s="279"/>
      <c r="AC27" s="279"/>
      <c r="AD27" s="280"/>
      <c r="AE27" s="278"/>
      <c r="AF27" s="279">
        <v>18.75</v>
      </c>
      <c r="AG27" s="279">
        <v>20.61</v>
      </c>
      <c r="AH27" s="280">
        <v>21.77</v>
      </c>
      <c r="AI27" s="188"/>
      <c r="AJ27" s="188"/>
      <c r="AK27" s="175"/>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c r="BN27" s="188"/>
      <c r="BO27" s="188"/>
      <c r="BP27" s="188"/>
      <c r="BQ27" s="188"/>
      <c r="BR27" s="188"/>
      <c r="BS27" s="188"/>
      <c r="BT27" s="188"/>
      <c r="BU27" s="188"/>
      <c r="BV27" s="188"/>
      <c r="BW27" s="188"/>
      <c r="BX27" s="188"/>
    </row>
    <row r="28" spans="2:76" ht="14.4" x14ac:dyDescent="0.3">
      <c r="B28" s="146"/>
      <c r="C28" s="281" t="s">
        <v>156</v>
      </c>
      <c r="D28" s="282"/>
      <c r="E28" s="387">
        <v>20</v>
      </c>
      <c r="F28" s="382">
        <v>0.5</v>
      </c>
      <c r="G28" s="283"/>
      <c r="H28" s="284">
        <f>T27</f>
        <v>18.75</v>
      </c>
      <c r="I28" s="203">
        <f>$J$9*H28</f>
        <v>262500</v>
      </c>
      <c r="J28" s="386">
        <v>0</v>
      </c>
      <c r="K28" s="284">
        <f t="shared" si="13"/>
        <v>0</v>
      </c>
      <c r="L28" s="274"/>
      <c r="M28" s="456">
        <v>1</v>
      </c>
      <c r="N28" s="284">
        <f t="shared" si="8"/>
        <v>21.77</v>
      </c>
      <c r="O28" s="203">
        <f t="shared" si="14"/>
        <v>223142.5</v>
      </c>
      <c r="P28" s="385">
        <v>0.05</v>
      </c>
      <c r="Q28" s="207">
        <f t="shared" si="10"/>
        <v>11157.125</v>
      </c>
      <c r="R28" s="152"/>
      <c r="T28" s="118"/>
      <c r="U28" s="138"/>
      <c r="V28" s="187"/>
      <c r="W28" s="118"/>
      <c r="X28" s="138"/>
      <c r="Y28" s="187"/>
      <c r="AA28" s="118"/>
      <c r="AB28" s="279"/>
      <c r="AC28" s="138"/>
      <c r="AD28" s="280"/>
      <c r="AE28" s="118"/>
      <c r="AF28" s="120"/>
      <c r="AG28" s="279"/>
      <c r="AH28" s="280"/>
      <c r="AI28" s="188"/>
      <c r="AJ28" s="188"/>
      <c r="AK28" s="175"/>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8"/>
      <c r="BR28" s="188"/>
      <c r="BS28" s="188"/>
      <c r="BT28" s="188"/>
      <c r="BU28" s="188"/>
      <c r="BV28" s="188"/>
      <c r="BW28" s="188"/>
      <c r="BX28" s="188"/>
    </row>
    <row r="29" spans="2:76" ht="14.4" x14ac:dyDescent="0.3">
      <c r="B29" s="146"/>
      <c r="C29" s="286" t="s">
        <v>157</v>
      </c>
      <c r="D29" s="282"/>
      <c r="E29" s="287"/>
      <c r="F29" s="275"/>
      <c r="G29" s="283"/>
      <c r="H29" s="293"/>
      <c r="I29" s="266">
        <f>SUM(I24:I28)</f>
        <v>6688500</v>
      </c>
      <c r="J29" s="120"/>
      <c r="K29" s="288"/>
      <c r="L29" s="274"/>
      <c r="M29" s="289"/>
      <c r="N29" s="284"/>
      <c r="O29" s="266">
        <f>SUM(O24:O28)</f>
        <v>7381675.875</v>
      </c>
      <c r="P29" s="138"/>
      <c r="Q29" s="207"/>
      <c r="R29" s="152"/>
      <c r="T29" s="118"/>
      <c r="U29" s="138"/>
      <c r="V29" s="187"/>
      <c r="W29" s="118"/>
      <c r="X29" s="138"/>
      <c r="Y29" s="187"/>
      <c r="AA29" s="118"/>
      <c r="AB29" s="138"/>
      <c r="AC29" s="138"/>
      <c r="AD29" s="187"/>
      <c r="AE29" s="118"/>
      <c r="AF29" s="279"/>
      <c r="AG29" s="138"/>
      <c r="AH29" s="187"/>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8"/>
      <c r="BR29" s="188"/>
      <c r="BS29" s="188"/>
      <c r="BT29" s="188"/>
      <c r="BU29" s="188"/>
      <c r="BV29" s="188"/>
      <c r="BW29" s="188"/>
      <c r="BX29" s="188"/>
    </row>
    <row r="30" spans="2:76" ht="14.4" x14ac:dyDescent="0.3">
      <c r="B30" s="146"/>
      <c r="C30" s="290"/>
      <c r="D30" s="282"/>
      <c r="E30" s="287"/>
      <c r="F30" s="275"/>
      <c r="G30" s="283"/>
      <c r="H30" s="288"/>
      <c r="I30" s="284"/>
      <c r="J30" s="120"/>
      <c r="K30" s="288"/>
      <c r="L30" s="274"/>
      <c r="M30" s="289"/>
      <c r="N30" s="284"/>
      <c r="O30" s="284"/>
      <c r="P30" s="138"/>
      <c r="Q30" s="207"/>
      <c r="R30" s="152"/>
      <c r="T30" s="118"/>
      <c r="U30" s="138"/>
      <c r="V30" s="187"/>
      <c r="W30" s="118"/>
      <c r="X30" s="138"/>
      <c r="Y30" s="187"/>
      <c r="AA30" s="146"/>
      <c r="AB30" s="138"/>
      <c r="AC30" s="120"/>
      <c r="AD30" s="187"/>
      <c r="AE30" s="146"/>
      <c r="AF30" s="138"/>
      <c r="AG30" s="138"/>
      <c r="AH30" s="187"/>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8"/>
      <c r="BP30" s="188"/>
      <c r="BQ30" s="188"/>
      <c r="BR30" s="188"/>
      <c r="BS30" s="188"/>
      <c r="BT30" s="188"/>
      <c r="BU30" s="188"/>
      <c r="BV30" s="188"/>
      <c r="BW30" s="188"/>
      <c r="BX30" s="188"/>
    </row>
    <row r="31" spans="2:76" x14ac:dyDescent="0.3">
      <c r="B31" s="146"/>
      <c r="C31" s="272" t="s">
        <v>153</v>
      </c>
      <c r="D31" s="273"/>
      <c r="E31" s="291"/>
      <c r="F31" s="275"/>
      <c r="G31" s="292"/>
      <c r="H31" s="284"/>
      <c r="I31" s="284"/>
      <c r="J31" s="120"/>
      <c r="K31" s="288"/>
      <c r="L31" s="274"/>
      <c r="M31" s="289"/>
      <c r="N31" s="284"/>
      <c r="O31" s="284"/>
      <c r="P31" s="138"/>
      <c r="Q31" s="207"/>
      <c r="R31" s="152"/>
      <c r="T31" s="294">
        <f>IF($I$8=$AA$6,U31,V31)</f>
        <v>9.17</v>
      </c>
      <c r="U31" s="162">
        <f>IF($I$7=$AB$7,AB31,IF($I$7=$AC$7,AC31,AD31))</f>
        <v>11.19</v>
      </c>
      <c r="V31" s="295">
        <f>IF($I$7=$AB$7,AF31,IF($I$7=$AC$7,AG31,AH31))</f>
        <v>9.17</v>
      </c>
      <c r="W31" s="294">
        <f>IF($O$8=$AA$6,X31,Y31)</f>
        <v>44.84</v>
      </c>
      <c r="X31" s="162">
        <f>IF($O$7=$AB$7,AB31,IF($O$7=$AC$7,AC31,AD31))</f>
        <v>28.34</v>
      </c>
      <c r="Y31" s="295">
        <f t="shared" si="5"/>
        <v>44.84</v>
      </c>
      <c r="AA31" s="296" t="s">
        <v>19</v>
      </c>
      <c r="AB31" s="297">
        <v>11.19</v>
      </c>
      <c r="AC31" s="297">
        <v>14.69</v>
      </c>
      <c r="AD31" s="298">
        <v>28.34</v>
      </c>
      <c r="AE31" s="296" t="s">
        <v>19</v>
      </c>
      <c r="AF31" s="297">
        <v>9.17</v>
      </c>
      <c r="AG31" s="297">
        <f>11.92*1.5</f>
        <v>17.88</v>
      </c>
      <c r="AH31" s="298">
        <f>22.42*2</f>
        <v>44.84</v>
      </c>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188"/>
      <c r="BS31" s="188"/>
      <c r="BT31" s="188"/>
      <c r="BU31" s="188"/>
      <c r="BV31" s="188"/>
      <c r="BW31" s="188"/>
      <c r="BX31" s="188"/>
    </row>
    <row r="32" spans="2:76" ht="14.4" x14ac:dyDescent="0.3">
      <c r="B32" s="146"/>
      <c r="C32" s="281" t="s">
        <v>153</v>
      </c>
      <c r="D32" s="282"/>
      <c r="E32" s="387">
        <v>10</v>
      </c>
      <c r="F32" s="382">
        <v>0.7</v>
      </c>
      <c r="G32" s="283"/>
      <c r="H32" s="284">
        <f>T31</f>
        <v>9.17</v>
      </c>
      <c r="I32" s="203">
        <f>$J$9*H32</f>
        <v>128380</v>
      </c>
      <c r="J32" s="386">
        <v>0.01</v>
      </c>
      <c r="K32" s="284">
        <f t="shared" ref="K32" si="15">J32*I32</f>
        <v>1283.8</v>
      </c>
      <c r="L32" s="274"/>
      <c r="M32" s="384">
        <v>1</v>
      </c>
      <c r="N32" s="284">
        <f t="shared" si="8"/>
        <v>44.84</v>
      </c>
      <c r="O32" s="203">
        <f>$P$9*N32*M32</f>
        <v>459610.00000000006</v>
      </c>
      <c r="P32" s="385">
        <v>0.05</v>
      </c>
      <c r="Q32" s="207">
        <f>P32*O32</f>
        <v>22980.500000000004</v>
      </c>
      <c r="R32" s="152"/>
      <c r="T32" s="188"/>
      <c r="U32" s="188"/>
      <c r="V32" s="188"/>
      <c r="W32" s="188"/>
      <c r="X32" s="188"/>
      <c r="Y32" s="188"/>
      <c r="AA32" s="188"/>
      <c r="AB32" s="299"/>
      <c r="AC32" s="188"/>
      <c r="AD32" s="299"/>
      <c r="AE32" s="188"/>
      <c r="AG32" s="299"/>
      <c r="AH32" s="299"/>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8"/>
      <c r="BS32" s="188"/>
      <c r="BT32" s="188"/>
      <c r="BU32" s="188"/>
      <c r="BV32" s="188"/>
      <c r="BW32" s="188"/>
      <c r="BX32" s="188"/>
    </row>
    <row r="33" spans="1:76" ht="14.4" x14ac:dyDescent="0.3">
      <c r="B33" s="146"/>
      <c r="C33" s="286" t="s">
        <v>228</v>
      </c>
      <c r="D33" s="282"/>
      <c r="E33" s="287"/>
      <c r="F33" s="275"/>
      <c r="G33" s="283"/>
      <c r="H33" s="293"/>
      <c r="I33" s="266">
        <f>SUM(I32)</f>
        <v>128380</v>
      </c>
      <c r="J33" s="120"/>
      <c r="K33" s="273"/>
      <c r="L33" s="274"/>
      <c r="M33" s="289"/>
      <c r="N33" s="288"/>
      <c r="O33" s="266">
        <f>SUM(O32)</f>
        <v>459610.00000000006</v>
      </c>
      <c r="P33" s="138"/>
      <c r="Q33" s="156"/>
      <c r="R33" s="152"/>
      <c r="T33" s="188"/>
      <c r="U33" s="188"/>
      <c r="V33" s="188"/>
      <c r="W33" s="188"/>
      <c r="X33" s="188"/>
      <c r="Y33" s="188"/>
      <c r="AA33" s="188"/>
      <c r="AB33" s="188"/>
      <c r="AC33" s="188"/>
      <c r="AD33" s="188"/>
      <c r="AE33" s="188"/>
      <c r="AF33" s="299"/>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S33" s="188"/>
      <c r="BT33" s="188"/>
      <c r="BU33" s="188"/>
      <c r="BV33" s="188"/>
      <c r="BW33" s="188"/>
      <c r="BX33" s="188"/>
    </row>
    <row r="34" spans="1:76" ht="14.4" x14ac:dyDescent="0.3">
      <c r="B34" s="146"/>
      <c r="C34" s="286"/>
      <c r="D34" s="282"/>
      <c r="E34" s="287"/>
      <c r="F34" s="275"/>
      <c r="G34" s="283"/>
      <c r="H34" s="293"/>
      <c r="I34" s="266"/>
      <c r="J34" s="120"/>
      <c r="K34" s="273"/>
      <c r="L34" s="274"/>
      <c r="M34" s="289"/>
      <c r="N34" s="288"/>
      <c r="O34" s="266"/>
      <c r="P34" s="138"/>
      <c r="Q34" s="156"/>
      <c r="R34" s="152"/>
      <c r="T34" s="188"/>
      <c r="U34" s="188"/>
      <c r="V34" s="188"/>
      <c r="W34" s="188"/>
      <c r="X34" s="188"/>
      <c r="Y34" s="188"/>
      <c r="AA34" s="188"/>
      <c r="AB34" s="188"/>
      <c r="AC34" s="188"/>
      <c r="AD34" s="188"/>
      <c r="AE34" s="188"/>
      <c r="AF34" s="299"/>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8"/>
      <c r="BQ34" s="188"/>
      <c r="BR34" s="188"/>
      <c r="BS34" s="188"/>
      <c r="BT34" s="188"/>
      <c r="BU34" s="188"/>
      <c r="BV34" s="188"/>
      <c r="BW34" s="188"/>
      <c r="BX34" s="188"/>
    </row>
    <row r="35" spans="1:76" x14ac:dyDescent="0.3">
      <c r="B35" s="146"/>
      <c r="C35" s="272" t="s">
        <v>151</v>
      </c>
      <c r="D35" s="273"/>
      <c r="E35" s="291"/>
      <c r="F35" s="275"/>
      <c r="G35" s="292"/>
      <c r="H35" s="284"/>
      <c r="I35" s="284"/>
      <c r="J35" s="120"/>
      <c r="K35" s="288"/>
      <c r="L35" s="274"/>
      <c r="M35" s="289"/>
      <c r="N35" s="284"/>
      <c r="O35" s="284"/>
      <c r="P35" s="138"/>
      <c r="Q35" s="120"/>
      <c r="R35" s="300"/>
      <c r="T35" s="188"/>
      <c r="U35" s="188"/>
      <c r="V35" s="188"/>
      <c r="W35" s="188"/>
      <c r="X35" s="188"/>
      <c r="Y35" s="188"/>
      <c r="AA35" s="188"/>
      <c r="AB35" s="188"/>
      <c r="AC35" s="188"/>
      <c r="AD35" s="188"/>
      <c r="AE35" s="188"/>
      <c r="AF35" s="299"/>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c r="BR35" s="188"/>
      <c r="BS35" s="188"/>
      <c r="BT35" s="188"/>
      <c r="BU35" s="188"/>
      <c r="BV35" s="188"/>
      <c r="BW35" s="188"/>
      <c r="BX35" s="188"/>
    </row>
    <row r="36" spans="1:76" ht="14.4" x14ac:dyDescent="0.3">
      <c r="B36" s="146"/>
      <c r="C36" s="281" t="s">
        <v>151</v>
      </c>
      <c r="D36" s="282"/>
      <c r="E36" s="387">
        <v>10</v>
      </c>
      <c r="F36" s="382">
        <v>0.7</v>
      </c>
      <c r="G36" s="283"/>
      <c r="H36" s="379">
        <v>150</v>
      </c>
      <c r="I36" s="203">
        <f>$J$9*H36</f>
        <v>2100000</v>
      </c>
      <c r="J36" s="386">
        <v>0.05</v>
      </c>
      <c r="K36" s="284">
        <f t="shared" ref="K36" si="16">J36*I36</f>
        <v>105000</v>
      </c>
      <c r="L36" s="274"/>
      <c r="M36" s="384">
        <v>1</v>
      </c>
      <c r="N36" s="376">
        <v>80</v>
      </c>
      <c r="O36" s="203">
        <f>$P$9*N36*M36</f>
        <v>820000</v>
      </c>
      <c r="P36" s="385">
        <v>0.18</v>
      </c>
      <c r="Q36" s="207">
        <f>P36*O36</f>
        <v>147600</v>
      </c>
      <c r="R36" s="301"/>
      <c r="T36" s="188"/>
      <c r="U36" s="188"/>
      <c r="V36" s="188"/>
      <c r="W36" s="188"/>
      <c r="X36" s="188"/>
      <c r="Y36" s="188"/>
      <c r="AA36" s="188"/>
      <c r="AB36" s="188"/>
      <c r="AC36" s="188"/>
      <c r="AD36" s="188"/>
      <c r="AE36" s="188"/>
      <c r="AF36" s="299"/>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88"/>
      <c r="BR36" s="188"/>
      <c r="BS36" s="188"/>
      <c r="BT36" s="188"/>
      <c r="BU36" s="188"/>
      <c r="BV36" s="188"/>
      <c r="BW36" s="188"/>
      <c r="BX36" s="188"/>
    </row>
    <row r="37" spans="1:76" ht="14.4" x14ac:dyDescent="0.3">
      <c r="B37" s="146"/>
      <c r="C37" s="286" t="s">
        <v>152</v>
      </c>
      <c r="D37" s="282"/>
      <c r="E37" s="287"/>
      <c r="F37" s="273"/>
      <c r="G37" s="283"/>
      <c r="H37" s="293"/>
      <c r="I37" s="266">
        <f>SUM(I36)</f>
        <v>2100000</v>
      </c>
      <c r="J37" s="120"/>
      <c r="K37" s="273"/>
      <c r="L37" s="274"/>
      <c r="M37" s="283"/>
      <c r="N37" s="293"/>
      <c r="O37" s="266">
        <f>SUM(O36)</f>
        <v>820000</v>
      </c>
      <c r="P37" s="138"/>
      <c r="Q37" s="120"/>
      <c r="R37" s="300"/>
      <c r="T37" s="302">
        <v>10</v>
      </c>
      <c r="U37" s="188"/>
      <c r="V37" s="188"/>
      <c r="W37" s="188"/>
      <c r="X37" s="188"/>
      <c r="Y37" s="188"/>
      <c r="AA37" s="188"/>
      <c r="AB37" s="188"/>
      <c r="AC37" s="299"/>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88"/>
      <c r="BR37" s="188"/>
      <c r="BS37" s="188"/>
      <c r="BT37" s="188"/>
      <c r="BU37" s="188"/>
      <c r="BV37" s="188"/>
      <c r="BW37" s="188"/>
      <c r="BX37" s="188"/>
    </row>
    <row r="38" spans="1:76" ht="14.4" x14ac:dyDescent="0.3">
      <c r="B38" s="146"/>
      <c r="C38" s="286"/>
      <c r="D38" s="282"/>
      <c r="E38" s="287"/>
      <c r="F38" s="273"/>
      <c r="G38" s="283"/>
      <c r="H38" s="293"/>
      <c r="I38" s="266"/>
      <c r="J38" s="119"/>
      <c r="K38" s="273"/>
      <c r="L38" s="274"/>
      <c r="M38" s="283"/>
      <c r="N38" s="293"/>
      <c r="O38" s="266"/>
      <c r="P38" s="162"/>
      <c r="Q38" s="120"/>
      <c r="R38" s="300"/>
      <c r="T38" s="303">
        <v>20</v>
      </c>
      <c r="U38" s="188"/>
      <c r="V38" s="188"/>
      <c r="W38" s="188"/>
      <c r="X38" s="188"/>
      <c r="Y38" s="188"/>
      <c r="AA38" s="188"/>
      <c r="AB38" s="188"/>
      <c r="AC38" s="299"/>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188"/>
      <c r="BV38" s="188"/>
      <c r="BW38" s="188"/>
      <c r="BX38" s="188"/>
    </row>
    <row r="39" spans="1:76" x14ac:dyDescent="0.3">
      <c r="A39" s="152"/>
      <c r="B39" s="146"/>
      <c r="C39" s="304" t="s">
        <v>150</v>
      </c>
      <c r="D39" s="305"/>
      <c r="E39" s="306"/>
      <c r="F39" s="307"/>
      <c r="G39" s="308"/>
      <c r="H39" s="309"/>
      <c r="I39" s="310">
        <f>I21+I29+I33+I37</f>
        <v>18139800</v>
      </c>
      <c r="J39" s="120"/>
      <c r="K39" s="203">
        <f>SUM(K14:K38)</f>
        <v>106283.8</v>
      </c>
      <c r="L39" s="274"/>
      <c r="M39" s="308"/>
      <c r="N39" s="309"/>
      <c r="O39" s="310">
        <f>O21+O29+O33+O37</f>
        <v>18011658.75</v>
      </c>
      <c r="P39" s="138"/>
      <c r="Q39" s="203">
        <f>SUM(Q14:Q38)</f>
        <v>633168.02249999996</v>
      </c>
      <c r="R39" s="300"/>
      <c r="S39" s="299"/>
      <c r="T39" s="303">
        <v>30</v>
      </c>
      <c r="U39" s="188"/>
      <c r="V39" s="188"/>
      <c r="W39" s="188"/>
      <c r="X39" s="188"/>
      <c r="Y39" s="188"/>
      <c r="Z39" s="188"/>
      <c r="AA39" s="188"/>
      <c r="AB39" s="188"/>
      <c r="AC39" s="188"/>
      <c r="AD39" s="188"/>
      <c r="AE39" s="188"/>
      <c r="AF39" s="188"/>
      <c r="AG39" s="188"/>
      <c r="AH39" s="188"/>
      <c r="AI39" s="188"/>
      <c r="AJ39" s="234"/>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row>
    <row r="40" spans="1:76" x14ac:dyDescent="0.3">
      <c r="A40" s="152"/>
      <c r="B40" s="146"/>
      <c r="C40" s="286"/>
      <c r="D40" s="273"/>
      <c r="E40" s="291"/>
      <c r="F40" s="288"/>
      <c r="G40" s="292"/>
      <c r="H40" s="284"/>
      <c r="I40" s="266">
        <f>I39/J9</f>
        <v>1295.7</v>
      </c>
      <c r="J40" s="311" t="s">
        <v>143</v>
      </c>
      <c r="K40" s="203"/>
      <c r="L40" s="274"/>
      <c r="M40" s="292"/>
      <c r="N40" s="284"/>
      <c r="O40" s="266">
        <f>O39/P9</f>
        <v>1757.2349999999999</v>
      </c>
      <c r="P40" s="311" t="s">
        <v>143</v>
      </c>
      <c r="Q40" s="203"/>
      <c r="R40" s="300"/>
      <c r="S40" s="299"/>
      <c r="T40" s="312">
        <v>40</v>
      </c>
      <c r="U40" s="188"/>
      <c r="V40" s="188"/>
      <c r="W40" s="188"/>
      <c r="X40" s="188"/>
      <c r="Y40" s="188"/>
      <c r="Z40" s="188"/>
      <c r="AA40" s="188"/>
      <c r="AB40" s="188"/>
      <c r="AC40" s="188"/>
      <c r="AD40" s="188"/>
      <c r="AE40" s="188"/>
      <c r="AF40" s="188"/>
      <c r="AG40" s="188"/>
      <c r="AH40" s="188"/>
      <c r="AI40" s="188"/>
      <c r="AJ40" s="234"/>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8"/>
      <c r="BV40" s="188"/>
      <c r="BW40" s="188"/>
      <c r="BX40" s="188"/>
    </row>
    <row r="41" spans="1:76" x14ac:dyDescent="0.3">
      <c r="A41" s="152"/>
      <c r="B41" s="146"/>
      <c r="C41" s="286"/>
      <c r="D41" s="273"/>
      <c r="E41" s="291"/>
      <c r="F41" s="288"/>
      <c r="G41" s="292"/>
      <c r="H41" s="284"/>
      <c r="I41" s="266"/>
      <c r="J41" s="311"/>
      <c r="K41" s="203"/>
      <c r="L41" s="274"/>
      <c r="M41" s="292"/>
      <c r="N41" s="284"/>
      <c r="O41" s="266"/>
      <c r="P41" s="311"/>
      <c r="Q41" s="203"/>
      <c r="R41" s="300"/>
      <c r="S41" s="299"/>
      <c r="T41" s="303"/>
      <c r="U41" s="188"/>
      <c r="V41" s="188"/>
      <c r="W41" s="188"/>
      <c r="X41" s="188"/>
      <c r="Y41" s="188"/>
      <c r="Z41" s="188"/>
      <c r="AA41" s="188"/>
      <c r="AB41" s="188"/>
      <c r="AC41" s="188"/>
      <c r="AD41" s="188"/>
      <c r="AE41" s="188"/>
      <c r="AF41" s="188"/>
      <c r="AG41" s="188"/>
      <c r="AH41" s="188"/>
      <c r="AI41" s="188"/>
      <c r="AJ41" s="234"/>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BT41" s="188"/>
      <c r="BU41" s="188"/>
      <c r="BV41" s="188"/>
      <c r="BW41" s="188"/>
      <c r="BX41" s="188"/>
    </row>
    <row r="42" spans="1:76" x14ac:dyDescent="0.3">
      <c r="A42" s="152"/>
      <c r="B42" s="146"/>
      <c r="C42" s="286" t="s">
        <v>149</v>
      </c>
      <c r="D42" s="273"/>
      <c r="E42" s="291"/>
      <c r="F42" s="382">
        <v>0.19</v>
      </c>
      <c r="G42" s="292"/>
      <c r="H42" s="284"/>
      <c r="I42" s="266">
        <f>I39*F42</f>
        <v>3446562</v>
      </c>
      <c r="J42" s="120"/>
      <c r="K42" s="203"/>
      <c r="L42" s="274"/>
      <c r="M42" s="383">
        <v>0.19</v>
      </c>
      <c r="N42" s="284"/>
      <c r="O42" s="266">
        <f>O39*M42</f>
        <v>3422215.1625000001</v>
      </c>
      <c r="P42" s="120"/>
      <c r="Q42" s="203"/>
      <c r="R42" s="300"/>
      <c r="S42" s="299"/>
      <c r="T42" s="303"/>
      <c r="U42" s="188"/>
      <c r="V42" s="188"/>
      <c r="W42" s="188"/>
      <c r="X42" s="188"/>
      <c r="Y42" s="188"/>
      <c r="Z42" s="188"/>
      <c r="AA42" s="188"/>
      <c r="AB42" s="188"/>
      <c r="AC42" s="188"/>
      <c r="AD42" s="188"/>
      <c r="AE42" s="188"/>
      <c r="AF42" s="188"/>
      <c r="AG42" s="188"/>
      <c r="AH42" s="188"/>
      <c r="AI42" s="188"/>
      <c r="AJ42" s="234"/>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88"/>
      <c r="BR42" s="188"/>
      <c r="BS42" s="188"/>
      <c r="BT42" s="188"/>
      <c r="BU42" s="188"/>
      <c r="BV42" s="188"/>
      <c r="BW42" s="188"/>
      <c r="BX42" s="188"/>
    </row>
    <row r="43" spans="1:76" x14ac:dyDescent="0.3">
      <c r="A43" s="152"/>
      <c r="B43" s="146"/>
      <c r="C43" s="286"/>
      <c r="D43" s="273"/>
      <c r="E43" s="291"/>
      <c r="F43" s="288"/>
      <c r="G43" s="292"/>
      <c r="H43" s="284"/>
      <c r="I43" s="266">
        <f>I42/J9</f>
        <v>246.18299999999999</v>
      </c>
      <c r="J43" s="311" t="s">
        <v>143</v>
      </c>
      <c r="K43" s="288"/>
      <c r="L43" s="274"/>
      <c r="M43" s="292"/>
      <c r="N43" s="284"/>
      <c r="O43" s="266">
        <f>O42/P9</f>
        <v>333.87465000000003</v>
      </c>
      <c r="P43" s="311" t="s">
        <v>143</v>
      </c>
      <c r="Q43" s="120"/>
      <c r="R43" s="300"/>
      <c r="S43" s="299"/>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88"/>
      <c r="BR43" s="188"/>
      <c r="BS43" s="188"/>
      <c r="BT43" s="188"/>
      <c r="BU43" s="188"/>
      <c r="BV43" s="188"/>
      <c r="BW43" s="188"/>
      <c r="BX43" s="188"/>
    </row>
    <row r="44" spans="1:76" x14ac:dyDescent="0.3">
      <c r="A44" s="152"/>
      <c r="B44" s="146"/>
      <c r="C44" s="272" t="s">
        <v>146</v>
      </c>
      <c r="D44" s="273"/>
      <c r="E44" s="291"/>
      <c r="F44" s="288"/>
      <c r="G44" s="292"/>
      <c r="H44" s="284"/>
      <c r="I44" s="266"/>
      <c r="J44" s="311"/>
      <c r="K44" s="288"/>
      <c r="L44" s="274"/>
      <c r="M44" s="292"/>
      <c r="N44" s="284"/>
      <c r="O44" s="266"/>
      <c r="P44" s="311"/>
      <c r="Q44" s="120"/>
      <c r="R44" s="300"/>
      <c r="S44" s="299"/>
      <c r="T44" s="313"/>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188"/>
      <c r="BP44" s="188"/>
      <c r="BQ44" s="188"/>
      <c r="BR44" s="188"/>
      <c r="BS44" s="188"/>
      <c r="BT44" s="188"/>
      <c r="BU44" s="188"/>
      <c r="BV44" s="188"/>
      <c r="BW44" s="188"/>
      <c r="BX44" s="188"/>
    </row>
    <row r="45" spans="1:76" x14ac:dyDescent="0.3">
      <c r="A45" s="152"/>
      <c r="B45" s="146"/>
      <c r="C45" s="281" t="s">
        <v>147</v>
      </c>
      <c r="D45" s="273"/>
      <c r="E45" s="380">
        <v>0.22</v>
      </c>
      <c r="F45" s="314" t="s">
        <v>148</v>
      </c>
      <c r="G45" s="146"/>
      <c r="H45" s="284"/>
      <c r="I45" s="368">
        <f>($I$39+$I$42)*(E45)</f>
        <v>4748999.6399999997</v>
      </c>
      <c r="J45" s="120"/>
      <c r="K45" s="288"/>
      <c r="L45" s="274"/>
      <c r="M45" s="377">
        <v>0.22</v>
      </c>
      <c r="N45" s="314" t="s">
        <v>148</v>
      </c>
      <c r="O45" s="368">
        <f t="shared" ref="O45:O47" si="17">($O$39+$O$42)*(M45)</f>
        <v>4715452.2607500004</v>
      </c>
      <c r="P45" s="120"/>
      <c r="Q45" s="120"/>
      <c r="R45" s="300"/>
      <c r="S45" s="299"/>
      <c r="T45" s="313"/>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8"/>
      <c r="BK45" s="188"/>
      <c r="BL45" s="188"/>
      <c r="BM45" s="188"/>
      <c r="BN45" s="188"/>
      <c r="BO45" s="188"/>
      <c r="BP45" s="188"/>
      <c r="BQ45" s="188"/>
      <c r="BR45" s="188"/>
      <c r="BS45" s="188"/>
      <c r="BT45" s="188"/>
      <c r="BU45" s="188"/>
      <c r="BV45" s="188"/>
      <c r="BW45" s="188"/>
      <c r="BX45" s="188"/>
    </row>
    <row r="46" spans="1:76" ht="20.399999999999999" x14ac:dyDescent="0.3">
      <c r="A46" s="152"/>
      <c r="B46" s="146"/>
      <c r="C46" s="416" t="s">
        <v>229</v>
      </c>
      <c r="D46" s="273"/>
      <c r="E46" s="380">
        <v>0.1</v>
      </c>
      <c r="F46" s="314" t="s">
        <v>148</v>
      </c>
      <c r="G46" s="146"/>
      <c r="H46" s="284"/>
      <c r="I46" s="368">
        <f>($I$39+$I$42)*(E46)</f>
        <v>2158636.2000000002</v>
      </c>
      <c r="J46" s="120"/>
      <c r="K46" s="288"/>
      <c r="L46" s="274"/>
      <c r="M46" s="377">
        <v>0.1</v>
      </c>
      <c r="N46" s="314" t="s">
        <v>148</v>
      </c>
      <c r="O46" s="368">
        <f t="shared" si="17"/>
        <v>2143387.3912500003</v>
      </c>
      <c r="P46" s="120"/>
      <c r="Q46" s="120"/>
      <c r="R46" s="300"/>
      <c r="S46" s="299"/>
      <c r="T46" s="313"/>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8"/>
      <c r="BM46" s="188"/>
      <c r="BN46" s="188"/>
      <c r="BO46" s="188"/>
      <c r="BP46" s="188"/>
      <c r="BQ46" s="188"/>
      <c r="BR46" s="188"/>
      <c r="BS46" s="188"/>
      <c r="BT46" s="188"/>
      <c r="BU46" s="188"/>
      <c r="BV46" s="188"/>
      <c r="BW46" s="188"/>
      <c r="BX46" s="188"/>
    </row>
    <row r="47" spans="1:76" ht="20.399999999999999" x14ac:dyDescent="0.3">
      <c r="A47" s="152"/>
      <c r="B47" s="146"/>
      <c r="C47" s="417" t="s">
        <v>212</v>
      </c>
      <c r="D47" s="369"/>
      <c r="E47" s="381">
        <v>0.1</v>
      </c>
      <c r="F47" s="412" t="s">
        <v>148</v>
      </c>
      <c r="G47" s="213"/>
      <c r="H47" s="371"/>
      <c r="I47" s="372">
        <f>($I$39+$I$42)*(E47)</f>
        <v>2158636.2000000002</v>
      </c>
      <c r="J47" s="119"/>
      <c r="K47" s="288"/>
      <c r="L47" s="274"/>
      <c r="M47" s="378">
        <v>0.1</v>
      </c>
      <c r="N47" s="370" t="s">
        <v>148</v>
      </c>
      <c r="O47" s="372">
        <f t="shared" si="17"/>
        <v>2143387.3912500003</v>
      </c>
      <c r="P47" s="119"/>
      <c r="Q47" s="120"/>
      <c r="R47" s="300"/>
      <c r="S47" s="299"/>
      <c r="T47" s="313"/>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88"/>
      <c r="BR47" s="188"/>
      <c r="BS47" s="188"/>
      <c r="BT47" s="188"/>
      <c r="BU47" s="188"/>
      <c r="BV47" s="188"/>
      <c r="BW47" s="188"/>
      <c r="BX47" s="188"/>
    </row>
    <row r="48" spans="1:76" x14ac:dyDescent="0.3">
      <c r="A48" s="152"/>
      <c r="B48" s="146"/>
      <c r="C48" s="286" t="s">
        <v>146</v>
      </c>
      <c r="D48" s="273"/>
      <c r="E48" s="366"/>
      <c r="F48" s="314"/>
      <c r="G48" s="146"/>
      <c r="H48" s="284"/>
      <c r="I48" s="315">
        <f>SUM(I45:I47)</f>
        <v>9066272.0399999991</v>
      </c>
      <c r="J48" s="120"/>
      <c r="K48" s="288"/>
      <c r="L48" s="274"/>
      <c r="M48" s="367"/>
      <c r="N48" s="314"/>
      <c r="O48" s="315">
        <f>SUM(O45:O47)</f>
        <v>9002227.043250002</v>
      </c>
      <c r="P48" s="120"/>
      <c r="Q48" s="120"/>
      <c r="R48" s="300"/>
      <c r="S48" s="299"/>
      <c r="T48" s="313"/>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88"/>
      <c r="BX48" s="188"/>
    </row>
    <row r="49" spans="1:76" x14ac:dyDescent="0.3">
      <c r="A49" s="152"/>
      <c r="B49" s="146"/>
      <c r="C49" s="365"/>
      <c r="D49" s="273"/>
      <c r="E49" s="366"/>
      <c r="F49" s="314"/>
      <c r="G49" s="146"/>
      <c r="H49" s="284"/>
      <c r="I49" s="315"/>
      <c r="J49" s="120"/>
      <c r="K49" s="288"/>
      <c r="L49" s="274"/>
      <c r="M49" s="367"/>
      <c r="N49" s="314"/>
      <c r="O49" s="315"/>
      <c r="P49" s="120"/>
      <c r="Q49" s="120"/>
      <c r="R49" s="300"/>
      <c r="S49" s="299"/>
      <c r="T49" s="313"/>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8"/>
      <c r="BR49" s="188"/>
      <c r="BS49" s="188"/>
      <c r="BT49" s="188"/>
      <c r="BU49" s="188"/>
      <c r="BV49" s="188"/>
      <c r="BW49" s="188"/>
      <c r="BX49" s="188"/>
    </row>
    <row r="50" spans="1:76" x14ac:dyDescent="0.3">
      <c r="A50" s="152"/>
      <c r="B50" s="146"/>
      <c r="C50" s="272" t="s">
        <v>208</v>
      </c>
      <c r="D50" s="273"/>
      <c r="E50" s="366"/>
      <c r="F50" s="314"/>
      <c r="G50" s="146"/>
      <c r="H50" s="284"/>
      <c r="I50" s="315">
        <f>I39+I42+I48</f>
        <v>30652634.039999999</v>
      </c>
      <c r="J50" s="120"/>
      <c r="K50" s="288"/>
      <c r="L50" s="274"/>
      <c r="M50" s="367"/>
      <c r="N50" s="314"/>
      <c r="O50" s="315">
        <f>O39+O42+O48</f>
        <v>30436100.955750003</v>
      </c>
      <c r="P50" s="120"/>
      <c r="Q50" s="120"/>
      <c r="R50" s="300"/>
      <c r="S50" s="299"/>
      <c r="T50" s="313"/>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8"/>
      <c r="BR50" s="188"/>
      <c r="BS50" s="188"/>
      <c r="BT50" s="188"/>
      <c r="BU50" s="188"/>
      <c r="BV50" s="188"/>
      <c r="BW50" s="188"/>
      <c r="BX50" s="188"/>
    </row>
    <row r="51" spans="1:76" x14ac:dyDescent="0.3">
      <c r="A51" s="152"/>
      <c r="B51" s="146"/>
      <c r="C51" s="365"/>
      <c r="D51" s="273"/>
      <c r="E51" s="366"/>
      <c r="F51" s="314"/>
      <c r="G51" s="146"/>
      <c r="H51" s="284"/>
      <c r="I51" s="266">
        <f>I50/J9</f>
        <v>2189.4738600000001</v>
      </c>
      <c r="J51" s="311" t="s">
        <v>143</v>
      </c>
      <c r="K51" s="288"/>
      <c r="L51" s="274"/>
      <c r="M51" s="367"/>
      <c r="N51" s="314"/>
      <c r="O51" s="266">
        <f>O50/P9</f>
        <v>2969.3757030000002</v>
      </c>
      <c r="P51" s="311" t="s">
        <v>143</v>
      </c>
      <c r="Q51" s="120"/>
      <c r="R51" s="300"/>
      <c r="S51" s="299"/>
      <c r="T51" s="313"/>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8"/>
      <c r="BR51" s="188"/>
      <c r="BS51" s="188"/>
      <c r="BT51" s="188"/>
      <c r="BU51" s="188"/>
      <c r="BV51" s="188"/>
      <c r="BW51" s="188"/>
      <c r="BX51" s="188"/>
    </row>
    <row r="52" spans="1:76" x14ac:dyDescent="0.3">
      <c r="A52" s="152"/>
      <c r="B52" s="146"/>
      <c r="C52" s="272" t="s">
        <v>144</v>
      </c>
      <c r="D52" s="273"/>
      <c r="E52" s="317"/>
      <c r="F52" s="318"/>
      <c r="G52" s="292"/>
      <c r="H52" s="284"/>
      <c r="I52" s="284"/>
      <c r="J52" s="120"/>
      <c r="K52" s="288"/>
      <c r="L52" s="274"/>
      <c r="M52" s="292"/>
      <c r="N52" s="284"/>
      <c r="O52" s="284"/>
      <c r="P52" s="138"/>
      <c r="Q52" s="120"/>
      <c r="R52" s="300"/>
      <c r="S52" s="299"/>
      <c r="T52" s="316"/>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8"/>
      <c r="BR52" s="188"/>
      <c r="BS52" s="188"/>
      <c r="BT52" s="188"/>
      <c r="BU52" s="188"/>
      <c r="BV52" s="188"/>
      <c r="BW52" s="188"/>
      <c r="BX52" s="188"/>
    </row>
    <row r="53" spans="1:76" ht="14.4" x14ac:dyDescent="0.3">
      <c r="A53" s="152"/>
      <c r="B53" s="146"/>
      <c r="C53" s="281" t="s">
        <v>144</v>
      </c>
      <c r="D53" s="282"/>
      <c r="E53" s="287"/>
      <c r="F53" s="273"/>
      <c r="G53" s="283"/>
      <c r="H53" s="379">
        <v>45</v>
      </c>
      <c r="I53" s="203">
        <f>$J$9*H53</f>
        <v>630000</v>
      </c>
      <c r="J53" s="319"/>
      <c r="K53" s="284">
        <f>I53</f>
        <v>630000</v>
      </c>
      <c r="L53" s="274"/>
      <c r="M53" s="276"/>
      <c r="N53" s="376">
        <v>25</v>
      </c>
      <c r="O53" s="203">
        <f>$P$9*N53</f>
        <v>256250</v>
      </c>
      <c r="P53" s="319"/>
      <c r="Q53" s="120"/>
      <c r="R53" s="300"/>
      <c r="T53" s="299" t="s">
        <v>30</v>
      </c>
      <c r="U53" s="188"/>
      <c r="V53" s="188"/>
      <c r="W53" s="188"/>
      <c r="X53" s="188"/>
      <c r="Y53" s="188"/>
      <c r="Z53" s="188"/>
      <c r="AA53" s="188"/>
      <c r="AB53" s="188"/>
      <c r="AC53" s="188"/>
      <c r="AD53" s="188"/>
      <c r="AE53" s="188"/>
      <c r="AF53" s="188"/>
      <c r="AG53" s="188"/>
      <c r="AH53" s="188"/>
      <c r="AI53" s="188"/>
      <c r="AJ53" s="234"/>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8"/>
      <c r="BR53" s="188"/>
      <c r="BS53" s="188"/>
      <c r="BT53" s="188"/>
      <c r="BU53" s="188"/>
      <c r="BV53" s="188"/>
      <c r="BW53" s="188"/>
      <c r="BX53" s="188"/>
    </row>
    <row r="54" spans="1:76" ht="14.4" x14ac:dyDescent="0.3">
      <c r="A54" s="152"/>
      <c r="B54" s="146"/>
      <c r="C54" s="286" t="s">
        <v>145</v>
      </c>
      <c r="D54" s="282"/>
      <c r="E54" s="287"/>
      <c r="F54" s="273"/>
      <c r="G54" s="283"/>
      <c r="H54" s="293"/>
      <c r="I54" s="266">
        <f>SUM(I53:I53)</f>
        <v>630000</v>
      </c>
      <c r="J54" s="154"/>
      <c r="K54" s="273"/>
      <c r="L54" s="274"/>
      <c r="M54" s="283"/>
      <c r="N54" s="293"/>
      <c r="O54" s="266">
        <f>SUM(O53)</f>
        <v>256250</v>
      </c>
      <c r="P54" s="138"/>
      <c r="Q54" s="120"/>
      <c r="R54" s="300"/>
      <c r="S54" s="299"/>
      <c r="T54" s="316"/>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188"/>
    </row>
    <row r="55" spans="1:76" x14ac:dyDescent="0.3">
      <c r="A55" s="152"/>
      <c r="B55" s="320"/>
      <c r="C55" s="119"/>
      <c r="D55" s="119"/>
      <c r="E55" s="321"/>
      <c r="F55" s="322"/>
      <c r="G55" s="323"/>
      <c r="H55" s="119"/>
      <c r="I55" s="119"/>
      <c r="J55" s="324"/>
      <c r="K55" s="119"/>
      <c r="L55" s="325"/>
      <c r="M55" s="213"/>
      <c r="N55" s="119"/>
      <c r="O55" s="119"/>
      <c r="P55" s="119"/>
      <c r="Q55" s="119"/>
      <c r="R55" s="295"/>
      <c r="S55" s="188"/>
      <c r="T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c r="BC55" s="188"/>
      <c r="BD55" s="188"/>
      <c r="BE55" s="188"/>
      <c r="BF55" s="188"/>
      <c r="BG55" s="188"/>
      <c r="BH55" s="188"/>
      <c r="BI55" s="188"/>
      <c r="BJ55" s="188"/>
      <c r="BK55" s="188"/>
      <c r="BL55" s="188"/>
      <c r="BM55" s="188"/>
      <c r="BN55" s="188"/>
      <c r="BO55" s="188"/>
      <c r="BP55" s="188"/>
      <c r="BQ55" s="188"/>
      <c r="BR55" s="188"/>
      <c r="BS55" s="188"/>
      <c r="BT55" s="188"/>
      <c r="BU55" s="188"/>
      <c r="BV55" s="188"/>
      <c r="BW55" s="188"/>
      <c r="BX55" s="188"/>
    </row>
    <row r="56" spans="1:76" x14ac:dyDescent="0.3">
      <c r="A56" s="120"/>
      <c r="B56" s="326"/>
      <c r="C56" s="120"/>
      <c r="D56" s="120"/>
      <c r="E56" s="261"/>
      <c r="F56" s="261"/>
      <c r="G56" s="261"/>
      <c r="H56" s="120"/>
      <c r="I56" s="120"/>
      <c r="J56" s="120"/>
      <c r="K56" s="120"/>
      <c r="L56" s="284"/>
      <c r="M56" s="120"/>
      <c r="N56" s="120"/>
      <c r="O56" s="120"/>
      <c r="P56" s="120"/>
      <c r="Q56" s="120"/>
      <c r="R56" s="138"/>
      <c r="S56" s="188"/>
      <c r="T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8"/>
      <c r="BR56" s="188"/>
      <c r="BS56" s="188"/>
      <c r="BT56" s="188"/>
      <c r="BU56" s="188"/>
      <c r="BV56" s="188"/>
      <c r="BW56" s="188"/>
      <c r="BX56" s="188"/>
    </row>
    <row r="57" spans="1:76" x14ac:dyDescent="0.3">
      <c r="A57" s="120"/>
      <c r="D57" s="284"/>
      <c r="L57" s="284"/>
      <c r="R57" s="188"/>
      <c r="S57" s="188"/>
      <c r="T57" s="299"/>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8"/>
      <c r="BR57" s="188"/>
      <c r="BS57" s="188"/>
      <c r="BT57" s="188"/>
      <c r="BU57" s="188"/>
      <c r="BV57" s="188"/>
      <c r="BW57" s="188"/>
      <c r="BX57" s="188"/>
    </row>
    <row r="58" spans="1:76" x14ac:dyDescent="0.3">
      <c r="D58" s="284"/>
      <c r="L58" s="284"/>
      <c r="R58" s="188"/>
      <c r="S58" s="188"/>
      <c r="T58" s="299"/>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8"/>
      <c r="BR58" s="188"/>
      <c r="BS58" s="188"/>
      <c r="BT58" s="188"/>
      <c r="BU58" s="188"/>
      <c r="BV58" s="188"/>
      <c r="BW58" s="188"/>
      <c r="BX58" s="188"/>
    </row>
    <row r="59" spans="1:76" x14ac:dyDescent="0.3">
      <c r="D59" s="284"/>
      <c r="L59" s="284"/>
      <c r="R59" s="188"/>
      <c r="S59" s="188"/>
      <c r="T59" s="299"/>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8"/>
      <c r="BR59" s="188"/>
      <c r="BS59" s="188"/>
      <c r="BT59" s="188"/>
      <c r="BU59" s="188"/>
      <c r="BV59" s="188"/>
      <c r="BW59" s="188"/>
      <c r="BX59" s="188"/>
    </row>
    <row r="60" spans="1:76" x14ac:dyDescent="0.3">
      <c r="D60" s="284"/>
      <c r="L60" s="284"/>
      <c r="R60" s="188"/>
      <c r="S60" s="188"/>
      <c r="T60" s="299"/>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8"/>
      <c r="BR60" s="188"/>
      <c r="BS60" s="188"/>
      <c r="BT60" s="188"/>
      <c r="BU60" s="188"/>
      <c r="BV60" s="188"/>
      <c r="BW60" s="188"/>
      <c r="BX60" s="188"/>
    </row>
    <row r="61" spans="1:76" x14ac:dyDescent="0.3">
      <c r="D61" s="284"/>
      <c r="L61" s="284"/>
      <c r="O61" s="144"/>
      <c r="R61" s="188"/>
      <c r="S61" s="188"/>
      <c r="T61" s="299"/>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8"/>
      <c r="BC61" s="188"/>
      <c r="BD61" s="188"/>
      <c r="BE61" s="188"/>
      <c r="BF61" s="188"/>
      <c r="BG61" s="188"/>
      <c r="BH61" s="188"/>
      <c r="BI61" s="188"/>
      <c r="BJ61" s="188"/>
      <c r="BK61" s="188"/>
      <c r="BL61" s="188"/>
      <c r="BM61" s="188"/>
      <c r="BN61" s="188"/>
      <c r="BO61" s="188"/>
      <c r="BP61" s="188"/>
      <c r="BQ61" s="188"/>
      <c r="BR61" s="188"/>
      <c r="BS61" s="188"/>
      <c r="BT61" s="188"/>
      <c r="BU61" s="188"/>
      <c r="BV61" s="188"/>
      <c r="BW61" s="188"/>
      <c r="BX61" s="188"/>
    </row>
    <row r="62" spans="1:76" x14ac:dyDescent="0.3">
      <c r="D62" s="284"/>
      <c r="L62" s="284"/>
      <c r="R62" s="188"/>
      <c r="S62" s="188"/>
      <c r="T62" s="299"/>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188"/>
      <c r="BT62" s="188"/>
      <c r="BU62" s="188"/>
      <c r="BV62" s="188"/>
      <c r="BW62" s="188"/>
      <c r="BX62" s="188"/>
    </row>
    <row r="63" spans="1:76" x14ac:dyDescent="0.3">
      <c r="D63" s="284"/>
      <c r="L63" s="284"/>
      <c r="R63" s="188"/>
      <c r="S63" s="188"/>
      <c r="T63" s="299"/>
    </row>
    <row r="64" spans="1:76" x14ac:dyDescent="0.3">
      <c r="D64" s="284"/>
      <c r="R64" s="188"/>
      <c r="S64" s="188"/>
      <c r="T64" s="299"/>
    </row>
    <row r="65" spans="4:20" x14ac:dyDescent="0.3">
      <c r="D65" s="284"/>
      <c r="R65" s="188"/>
      <c r="S65" s="188"/>
      <c r="T65" s="188"/>
    </row>
    <row r="66" spans="4:20" x14ac:dyDescent="0.3">
      <c r="D66" s="284"/>
      <c r="R66" s="188"/>
      <c r="S66" s="188"/>
      <c r="T66" s="188"/>
    </row>
    <row r="67" spans="4:20" x14ac:dyDescent="0.3">
      <c r="D67" s="284"/>
      <c r="R67" s="188"/>
      <c r="S67" s="188"/>
      <c r="T67" s="299"/>
    </row>
    <row r="68" spans="4:20" x14ac:dyDescent="0.3">
      <c r="D68" s="284"/>
      <c r="R68" s="188"/>
      <c r="S68" s="188"/>
      <c r="T68" s="299"/>
    </row>
    <row r="69" spans="4:20" x14ac:dyDescent="0.3">
      <c r="D69" s="284"/>
      <c r="R69" s="188"/>
      <c r="S69" s="188"/>
      <c r="T69" s="299"/>
    </row>
    <row r="70" spans="4:20" x14ac:dyDescent="0.3">
      <c r="D70" s="284"/>
      <c r="R70" s="188"/>
      <c r="S70" s="188"/>
      <c r="T70" s="299"/>
    </row>
    <row r="71" spans="4:20" x14ac:dyDescent="0.3">
      <c r="D71" s="284"/>
      <c r="R71" s="188"/>
      <c r="S71" s="188"/>
      <c r="T71" s="299"/>
    </row>
    <row r="72" spans="4:20" x14ac:dyDescent="0.3">
      <c r="D72" s="284"/>
      <c r="R72" s="188"/>
      <c r="S72" s="188"/>
      <c r="T72" s="299"/>
    </row>
    <row r="73" spans="4:20" x14ac:dyDescent="0.3">
      <c r="D73" s="284"/>
      <c r="R73" s="188"/>
      <c r="S73" s="188"/>
      <c r="T73" s="188"/>
    </row>
    <row r="74" spans="4:20" x14ac:dyDescent="0.3">
      <c r="D74" s="284"/>
      <c r="R74" s="188"/>
      <c r="S74" s="188"/>
      <c r="T74" s="188"/>
    </row>
    <row r="75" spans="4:20" x14ac:dyDescent="0.3">
      <c r="D75" s="284"/>
      <c r="R75" s="188"/>
      <c r="S75" s="188"/>
      <c r="T75" s="299"/>
    </row>
    <row r="76" spans="4:20" x14ac:dyDescent="0.3">
      <c r="D76" s="284"/>
      <c r="R76" s="188"/>
      <c r="S76" s="188"/>
      <c r="T76" s="299"/>
    </row>
    <row r="77" spans="4:20" x14ac:dyDescent="0.3">
      <c r="D77" s="284"/>
      <c r="R77" s="188"/>
      <c r="S77" s="188"/>
      <c r="T77" s="188"/>
    </row>
    <row r="78" spans="4:20" x14ac:dyDescent="0.3">
      <c r="D78" s="284"/>
      <c r="R78" s="188"/>
      <c r="S78" s="188"/>
      <c r="T78" s="188"/>
    </row>
    <row r="79" spans="4:20" x14ac:dyDescent="0.3">
      <c r="D79" s="284"/>
      <c r="R79" s="188"/>
      <c r="S79" s="188"/>
      <c r="T79" s="188"/>
    </row>
    <row r="80" spans="4:20" x14ac:dyDescent="0.3">
      <c r="D80" s="284"/>
      <c r="R80" s="188"/>
      <c r="S80" s="188"/>
      <c r="T80" s="188"/>
    </row>
    <row r="81" spans="4:21" x14ac:dyDescent="0.3">
      <c r="D81" s="284"/>
      <c r="R81" s="188"/>
      <c r="S81" s="188"/>
      <c r="T81" s="188"/>
    </row>
    <row r="82" spans="4:21" x14ac:dyDescent="0.3">
      <c r="D82" s="284"/>
      <c r="R82" s="188"/>
      <c r="S82" s="188"/>
      <c r="T82" s="188"/>
    </row>
    <row r="83" spans="4:21" x14ac:dyDescent="0.3">
      <c r="D83" s="284"/>
      <c r="R83" s="188"/>
      <c r="S83" s="327"/>
      <c r="T83" s="316"/>
    </row>
    <row r="84" spans="4:21" x14ac:dyDescent="0.3">
      <c r="D84" s="284"/>
      <c r="R84" s="188"/>
      <c r="S84" s="327"/>
      <c r="T84" s="299"/>
    </row>
    <row r="85" spans="4:21" x14ac:dyDescent="0.3">
      <c r="R85" s="188"/>
      <c r="S85" s="188"/>
      <c r="T85" s="299"/>
      <c r="U85" s="188"/>
    </row>
  </sheetData>
  <sheetProtection algorithmName="SHA-512" hashValue="CpSXo8dWn6SOZiLH0IFVJMoSryUHVuEW+wWkjzYSF5xvU831Xaj4ekNTef1Ay55fNJxb01PtnUykTZUdtl88KQ==" saltValue="NIt0Sf1VA2fZBtk8sDc7Cw==" spinCount="100000" sheet="1" objects="1" scenarios="1"/>
  <mergeCells count="3">
    <mergeCell ref="I8:J8"/>
    <mergeCell ref="O8:P8"/>
    <mergeCell ref="D3:E3"/>
  </mergeCells>
  <dataValidations disablePrompts="1" count="4">
    <dataValidation type="list" allowBlank="1" showInputMessage="1" showErrorMessage="1" sqref="I8 O8" xr:uid="{00000000-0002-0000-0200-000000000000}">
      <formula1>$AA$3:$AA$4</formula1>
    </dataValidation>
    <dataValidation type="list" allowBlank="1" showInputMessage="1" showErrorMessage="1" sqref="I7 O7" xr:uid="{00000000-0002-0000-0200-000001000000}">
      <formula1>$AB$7:$AD$7</formula1>
    </dataValidation>
    <dataValidation type="list" allowBlank="1" showInputMessage="1" showErrorMessage="1" sqref="E53:F53" xr:uid="{00000000-0002-0000-0200-000002000000}">
      <formula1>$T$37:$T$42</formula1>
    </dataValidation>
    <dataValidation type="list" allowBlank="1" showInputMessage="1" showErrorMessage="1" sqref="E32 E14:E20 E24:E28 E36" xr:uid="{00000000-0002-0000-0200-000003000000}">
      <formula1>$T$37:$T$40</formula1>
    </dataValidation>
  </dataValidations>
  <pageMargins left="0.7" right="0.7" top="0.75" bottom="0.75" header="0.3" footer="0.3"/>
  <pageSetup paperSize="8" scale="69" fitToHeight="0" orientation="portrait" r:id="rId1"/>
  <headerFooter>
    <oddFooter>&amp;C&amp;F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X206"/>
  <sheetViews>
    <sheetView showGridLines="0" topLeftCell="B37" workbookViewId="0">
      <selection activeCell="G62" sqref="G62"/>
    </sheetView>
  </sheetViews>
  <sheetFormatPr defaultColWidth="8.88671875" defaultRowHeight="13.8" outlineLevelCol="1" x14ac:dyDescent="0.3"/>
  <cols>
    <col min="1" max="1" width="8.88671875" style="1" hidden="1" customWidth="1" outlineLevel="1"/>
    <col min="2" max="2" width="6.6640625" style="1" customWidth="1" collapsed="1"/>
    <col min="3" max="3" width="10.6640625" style="1" customWidth="1"/>
    <col min="4" max="4" width="13.6640625" style="1" bestFit="1" customWidth="1"/>
    <col min="5" max="5" width="11.44140625" style="1" customWidth="1"/>
    <col min="6" max="6" width="11.88671875" style="33" customWidth="1"/>
    <col min="7" max="7" width="10.6640625" style="1" customWidth="1"/>
    <col min="8" max="8" width="12.33203125" style="1" customWidth="1"/>
    <col min="9" max="9" width="13.88671875" style="1" customWidth="1"/>
    <col min="10" max="10" width="10.6640625" style="36" customWidth="1"/>
    <col min="11" max="11" width="13.44140625" style="1" customWidth="1"/>
    <col min="12" max="12" width="12.6640625" style="1" customWidth="1"/>
    <col min="13" max="13" width="13.88671875" style="1" bestFit="1" customWidth="1"/>
    <col min="14" max="14" width="13.109375" style="1" bestFit="1" customWidth="1"/>
    <col min="15" max="15" width="15.44140625" style="1" bestFit="1" customWidth="1"/>
    <col min="16" max="16" width="10.6640625" style="1" customWidth="1"/>
    <col min="17" max="17" width="10.33203125" style="1" customWidth="1"/>
    <col min="18" max="18" width="8.88671875" style="1" customWidth="1"/>
    <col min="19" max="19" width="8.88671875" style="36" customWidth="1"/>
    <col min="20" max="20" width="10.33203125" style="36" customWidth="1"/>
    <col min="21" max="21" width="11.44140625" style="36" customWidth="1"/>
    <col min="22" max="22" width="12.5546875" style="1" customWidth="1"/>
    <col min="23" max="23" width="10.6640625" style="36" customWidth="1"/>
    <col min="24" max="24" width="11.5546875" style="38" customWidth="1"/>
    <col min="25" max="25" width="11.5546875" style="1" customWidth="1"/>
    <col min="26" max="30" width="8.88671875" style="1" customWidth="1"/>
    <col min="31" max="32" width="10.5546875" style="1" customWidth="1"/>
    <col min="33" max="33" width="9.6640625" style="16" customWidth="1"/>
    <col min="34" max="36" width="8.88671875" style="16" customWidth="1"/>
    <col min="37" max="40" width="8.88671875" style="1" customWidth="1"/>
    <col min="41" max="41" width="13.44140625" style="1" customWidth="1"/>
    <col min="42" max="42" width="11.88671875" style="1" customWidth="1"/>
    <col min="43" max="43" width="9.44140625" style="1" customWidth="1"/>
    <col min="44" max="54" width="8.88671875" style="1" customWidth="1"/>
    <col min="55" max="16384" width="8.88671875" style="1"/>
  </cols>
  <sheetData>
    <row r="1" spans="2:36" x14ac:dyDescent="0.3">
      <c r="D1" s="2"/>
      <c r="E1" s="3"/>
      <c r="F1" s="3"/>
      <c r="G1" s="2"/>
      <c r="H1" s="2"/>
      <c r="I1" s="2"/>
      <c r="J1" s="2"/>
      <c r="K1" s="3"/>
      <c r="L1" s="3"/>
    </row>
    <row r="2" spans="2:36" x14ac:dyDescent="0.3">
      <c r="B2" s="4"/>
      <c r="C2" s="5"/>
      <c r="D2" s="76" t="s">
        <v>54</v>
      </c>
      <c r="E2" s="34" t="s">
        <v>55</v>
      </c>
      <c r="F2" s="34"/>
      <c r="G2" s="6"/>
      <c r="H2" s="6"/>
      <c r="I2" s="6"/>
      <c r="J2" s="6"/>
      <c r="K2" s="6"/>
      <c r="L2" s="6"/>
      <c r="M2" s="6"/>
      <c r="N2" s="105" t="s">
        <v>56</v>
      </c>
      <c r="O2" s="7" t="s">
        <v>57</v>
      </c>
    </row>
    <row r="3" spans="2:36" x14ac:dyDescent="0.3">
      <c r="B3" s="4"/>
      <c r="C3" s="8"/>
      <c r="D3" s="77" t="s">
        <v>58</v>
      </c>
      <c r="E3" s="375">
        <v>16343801</v>
      </c>
      <c r="F3" s="375"/>
      <c r="G3" s="9"/>
      <c r="H3" s="9"/>
      <c r="I3" s="9"/>
      <c r="J3" s="9"/>
      <c r="K3" s="9"/>
      <c r="L3" s="9"/>
      <c r="M3" s="9"/>
      <c r="N3" s="108" t="s">
        <v>59</v>
      </c>
      <c r="O3" s="11" t="s">
        <v>52</v>
      </c>
    </row>
    <row r="4" spans="2:36" x14ac:dyDescent="0.3">
      <c r="B4" s="4"/>
      <c r="C4" s="12"/>
      <c r="D4" s="78" t="s">
        <v>60</v>
      </c>
      <c r="E4" s="14" t="s">
        <v>61</v>
      </c>
      <c r="F4" s="14"/>
      <c r="G4" s="13"/>
      <c r="H4" s="13"/>
      <c r="I4" s="13"/>
      <c r="J4" s="13"/>
      <c r="K4" s="13"/>
      <c r="L4" s="13"/>
      <c r="M4" s="13"/>
      <c r="N4" s="110" t="s">
        <v>0</v>
      </c>
      <c r="O4" s="15">
        <f>Startseite!N4</f>
        <v>43755</v>
      </c>
    </row>
    <row r="5" spans="2:36" x14ac:dyDescent="0.3">
      <c r="C5" s="46"/>
      <c r="D5" s="17"/>
      <c r="E5" s="18"/>
      <c r="F5" s="18"/>
      <c r="G5" s="17"/>
      <c r="H5" s="17"/>
      <c r="I5" s="17"/>
      <c r="J5" s="39"/>
      <c r="K5" s="18"/>
      <c r="L5" s="18"/>
      <c r="M5" s="16"/>
      <c r="N5" s="16"/>
    </row>
    <row r="6" spans="2:36" s="33" customFormat="1" x14ac:dyDescent="0.3">
      <c r="C6" s="30" t="s">
        <v>158</v>
      </c>
      <c r="D6" s="30"/>
      <c r="E6" s="30"/>
      <c r="F6" s="30"/>
      <c r="G6" s="31">
        <f>SUM(AH52:AH92)</f>
        <v>0</v>
      </c>
      <c r="H6" s="48" t="s">
        <v>161</v>
      </c>
      <c r="I6" s="41" t="s">
        <v>159</v>
      </c>
      <c r="J6" s="37"/>
      <c r="K6" s="18"/>
      <c r="L6" s="79"/>
      <c r="M6" s="35"/>
      <c r="N6" s="35"/>
      <c r="P6" s="49"/>
      <c r="S6" s="36"/>
      <c r="T6" s="36"/>
      <c r="U6" s="36"/>
      <c r="W6" s="36"/>
      <c r="X6" s="38"/>
      <c r="AG6" s="35"/>
      <c r="AH6" s="35"/>
      <c r="AI6" s="35"/>
      <c r="AJ6" s="35"/>
    </row>
    <row r="7" spans="2:36" s="36" customFormat="1" x14ac:dyDescent="0.3">
      <c r="F7" s="30"/>
      <c r="G7" s="31"/>
      <c r="H7" s="48"/>
      <c r="I7" s="37"/>
      <c r="J7" s="37"/>
      <c r="K7" s="40"/>
      <c r="L7" s="40"/>
      <c r="M7" s="38"/>
      <c r="N7" s="38"/>
      <c r="O7" s="49"/>
      <c r="X7" s="38"/>
      <c r="AG7" s="38"/>
      <c r="AH7" s="38"/>
      <c r="AI7" s="38"/>
      <c r="AJ7" s="38"/>
    </row>
    <row r="8" spans="2:36" s="33" customFormat="1" x14ac:dyDescent="0.3">
      <c r="C8" s="30"/>
      <c r="D8" s="30"/>
      <c r="E8" s="30"/>
      <c r="F8" s="30"/>
      <c r="G8" s="31"/>
      <c r="H8" s="32"/>
      <c r="I8" s="17"/>
      <c r="J8" s="39"/>
      <c r="K8" s="18"/>
      <c r="L8" s="18"/>
      <c r="M8" s="35"/>
      <c r="N8" s="35"/>
      <c r="S8" s="36"/>
      <c r="T8" s="36"/>
      <c r="U8" s="36"/>
      <c r="W8" s="36"/>
      <c r="X8" s="38"/>
      <c r="AG8" s="35"/>
      <c r="AH8" s="35"/>
      <c r="AI8" s="35"/>
      <c r="AJ8" s="35"/>
    </row>
    <row r="9" spans="2:36" s="33" customFormat="1" x14ac:dyDescent="0.3">
      <c r="C9" s="30"/>
      <c r="D9" s="30"/>
      <c r="E9" s="30"/>
      <c r="F9" s="30"/>
      <c r="G9" s="31"/>
      <c r="H9" s="32"/>
      <c r="I9" s="17"/>
      <c r="J9" s="39"/>
      <c r="K9" s="18"/>
      <c r="L9" s="18"/>
      <c r="M9" s="35"/>
      <c r="N9" s="35"/>
      <c r="S9" s="36"/>
      <c r="T9" s="36"/>
      <c r="U9" s="36"/>
      <c r="W9" s="36"/>
      <c r="X9" s="38"/>
      <c r="AG9" s="35"/>
      <c r="AH9" s="35"/>
      <c r="AI9" s="35"/>
      <c r="AJ9" s="35"/>
    </row>
    <row r="10" spans="2:36" s="33" customFormat="1" x14ac:dyDescent="0.3">
      <c r="C10" s="30"/>
      <c r="D10" s="30"/>
      <c r="E10" s="30"/>
      <c r="F10" s="30"/>
      <c r="G10" s="31"/>
      <c r="H10" s="32"/>
      <c r="I10" s="17"/>
      <c r="J10" s="39"/>
      <c r="K10" s="18"/>
      <c r="L10" s="18"/>
      <c r="M10" s="35"/>
      <c r="N10" s="35"/>
      <c r="S10" s="36"/>
      <c r="T10" s="36"/>
      <c r="U10" s="36"/>
      <c r="W10" s="36"/>
      <c r="X10" s="38"/>
      <c r="AG10" s="35"/>
      <c r="AH10" s="35"/>
      <c r="AI10" s="35"/>
      <c r="AJ10" s="35"/>
    </row>
    <row r="11" spans="2:36" s="33" customFormat="1" x14ac:dyDescent="0.3">
      <c r="C11" s="30"/>
      <c r="D11" s="30"/>
      <c r="E11" s="30"/>
      <c r="F11" s="30"/>
      <c r="G11" s="31"/>
      <c r="H11" s="32"/>
      <c r="I11" s="17"/>
      <c r="J11" s="39"/>
      <c r="K11" s="18"/>
      <c r="L11" s="18"/>
      <c r="M11" s="35"/>
      <c r="N11" s="35"/>
      <c r="S11" s="36"/>
      <c r="T11" s="36"/>
      <c r="U11" s="36"/>
      <c r="W11" s="36"/>
      <c r="X11" s="38"/>
      <c r="AG11" s="35"/>
      <c r="AH11" s="35"/>
      <c r="AI11" s="35"/>
      <c r="AJ11" s="35"/>
    </row>
    <row r="12" spans="2:36" s="33" customFormat="1" x14ac:dyDescent="0.3">
      <c r="C12" s="30"/>
      <c r="D12" s="30"/>
      <c r="E12" s="30"/>
      <c r="F12" s="30"/>
      <c r="G12" s="31"/>
      <c r="H12" s="32"/>
      <c r="I12" s="17"/>
      <c r="J12" s="39"/>
      <c r="K12" s="18"/>
      <c r="L12" s="18"/>
      <c r="M12" s="35"/>
      <c r="N12" s="35"/>
      <c r="S12" s="36"/>
      <c r="T12" s="36"/>
      <c r="U12" s="36"/>
      <c r="W12" s="36"/>
      <c r="X12" s="38"/>
      <c r="AG12" s="35"/>
      <c r="AH12" s="35"/>
      <c r="AI12" s="35"/>
      <c r="AJ12" s="35"/>
    </row>
    <row r="13" spans="2:36" s="33" customFormat="1" x14ac:dyDescent="0.3">
      <c r="C13" s="30"/>
      <c r="D13" s="30"/>
      <c r="E13" s="30"/>
      <c r="F13" s="30"/>
      <c r="G13" s="31"/>
      <c r="H13" s="32"/>
      <c r="I13" s="17"/>
      <c r="J13" s="39"/>
      <c r="K13" s="18"/>
      <c r="L13" s="18"/>
      <c r="M13" s="35"/>
      <c r="N13" s="35"/>
      <c r="S13" s="36"/>
      <c r="T13" s="36"/>
      <c r="U13" s="36"/>
      <c r="W13" s="36"/>
      <c r="X13" s="38"/>
      <c r="AG13" s="35"/>
      <c r="AH13" s="35"/>
      <c r="AI13" s="35"/>
      <c r="AJ13" s="35"/>
    </row>
    <row r="14" spans="2:36" s="33" customFormat="1" x14ac:dyDescent="0.3">
      <c r="C14" s="30"/>
      <c r="D14" s="30"/>
      <c r="E14" s="30"/>
      <c r="F14" s="30"/>
      <c r="G14" s="31"/>
      <c r="H14" s="32"/>
      <c r="I14" s="17"/>
      <c r="J14" s="39"/>
      <c r="K14" s="18"/>
      <c r="L14" s="18"/>
      <c r="M14" s="35"/>
      <c r="N14" s="35"/>
      <c r="S14" s="36"/>
      <c r="T14" s="36"/>
      <c r="U14" s="36"/>
      <c r="W14" s="36"/>
      <c r="X14" s="38"/>
      <c r="AG14" s="35"/>
      <c r="AH14" s="35"/>
      <c r="AI14" s="35"/>
      <c r="AJ14" s="35"/>
    </row>
    <row r="15" spans="2:36" s="33" customFormat="1" x14ac:dyDescent="0.3">
      <c r="C15" s="30"/>
      <c r="D15" s="30"/>
      <c r="E15" s="30"/>
      <c r="F15" s="30"/>
      <c r="G15" s="31"/>
      <c r="H15" s="32"/>
      <c r="I15" s="17"/>
      <c r="J15" s="39"/>
      <c r="K15" s="18"/>
      <c r="L15" s="18"/>
      <c r="M15" s="35"/>
      <c r="N15" s="35"/>
      <c r="S15" s="36"/>
      <c r="T15" s="36"/>
      <c r="U15" s="36"/>
      <c r="W15" s="36"/>
      <c r="X15" s="38"/>
      <c r="AG15" s="35"/>
      <c r="AH15" s="35"/>
      <c r="AI15" s="35"/>
      <c r="AJ15" s="35"/>
    </row>
    <row r="16" spans="2:36" s="33" customFormat="1" x14ac:dyDescent="0.3">
      <c r="C16" s="30"/>
      <c r="D16" s="30"/>
      <c r="E16" s="30"/>
      <c r="F16" s="30"/>
      <c r="G16" s="31"/>
      <c r="H16" s="32"/>
      <c r="I16" s="17"/>
      <c r="J16" s="39"/>
      <c r="K16" s="18"/>
      <c r="L16" s="18"/>
      <c r="M16" s="35"/>
      <c r="N16" s="35"/>
      <c r="S16" s="36"/>
      <c r="T16" s="36"/>
      <c r="U16" s="36"/>
      <c r="W16" s="36"/>
      <c r="X16" s="38"/>
      <c r="AG16" s="35"/>
      <c r="AH16" s="35"/>
      <c r="AI16" s="35"/>
      <c r="AJ16" s="35"/>
    </row>
    <row r="17" spans="3:36" s="33" customFormat="1" x14ac:dyDescent="0.3">
      <c r="C17" s="30"/>
      <c r="D17" s="30"/>
      <c r="E17" s="30"/>
      <c r="F17" s="30"/>
      <c r="G17" s="31"/>
      <c r="H17" s="32"/>
      <c r="I17" s="17"/>
      <c r="J17" s="39"/>
      <c r="K17" s="18"/>
      <c r="L17" s="18"/>
      <c r="M17" s="35"/>
      <c r="N17" s="35"/>
      <c r="S17" s="36"/>
      <c r="T17" s="36"/>
      <c r="U17" s="36"/>
      <c r="W17" s="36"/>
      <c r="X17" s="38"/>
      <c r="AG17" s="35"/>
      <c r="AH17" s="35"/>
      <c r="AI17" s="35"/>
      <c r="AJ17" s="35"/>
    </row>
    <row r="18" spans="3:36" s="33" customFormat="1" x14ac:dyDescent="0.3">
      <c r="C18" s="30"/>
      <c r="D18" s="30"/>
      <c r="E18" s="30"/>
      <c r="F18" s="30"/>
      <c r="G18" s="31"/>
      <c r="H18" s="32"/>
      <c r="I18" s="17"/>
      <c r="J18" s="39"/>
      <c r="K18" s="18"/>
      <c r="L18" s="18"/>
      <c r="M18" s="35"/>
      <c r="N18" s="35"/>
      <c r="S18" s="36"/>
      <c r="T18" s="36"/>
      <c r="U18" s="36"/>
      <c r="W18" s="36"/>
      <c r="X18" s="38"/>
      <c r="AG18" s="35"/>
      <c r="AH18" s="35"/>
      <c r="AI18" s="35"/>
      <c r="AJ18" s="35"/>
    </row>
    <row r="19" spans="3:36" s="33" customFormat="1" x14ac:dyDescent="0.3">
      <c r="C19" s="30"/>
      <c r="D19" s="30"/>
      <c r="E19" s="30"/>
      <c r="F19" s="30"/>
      <c r="G19" s="31"/>
      <c r="H19" s="32"/>
      <c r="I19" s="17"/>
      <c r="J19" s="39"/>
      <c r="K19" s="18"/>
      <c r="L19" s="18"/>
      <c r="M19" s="35"/>
      <c r="N19" s="35"/>
      <c r="S19" s="36"/>
      <c r="T19" s="36"/>
      <c r="U19" s="36"/>
      <c r="W19" s="36"/>
      <c r="X19" s="38"/>
      <c r="AG19" s="35"/>
      <c r="AH19" s="35"/>
      <c r="AI19" s="35"/>
      <c r="AJ19" s="35"/>
    </row>
    <row r="20" spans="3:36" s="33" customFormat="1" x14ac:dyDescent="0.3">
      <c r="C20" s="30"/>
      <c r="D20" s="30"/>
      <c r="E20" s="30"/>
      <c r="F20" s="30"/>
      <c r="G20" s="31"/>
      <c r="H20" s="32"/>
      <c r="I20" s="17"/>
      <c r="J20" s="39"/>
      <c r="K20" s="18"/>
      <c r="L20" s="18"/>
      <c r="M20" s="35"/>
      <c r="N20" s="35"/>
      <c r="S20" s="36"/>
      <c r="T20" s="36"/>
      <c r="U20" s="36"/>
      <c r="W20" s="36"/>
      <c r="X20" s="38"/>
      <c r="AG20" s="35"/>
      <c r="AH20" s="35"/>
      <c r="AI20" s="35"/>
      <c r="AJ20" s="35"/>
    </row>
    <row r="21" spans="3:36" s="33" customFormat="1" x14ac:dyDescent="0.3">
      <c r="C21" s="30"/>
      <c r="D21" s="30"/>
      <c r="E21" s="30"/>
      <c r="F21" s="30"/>
      <c r="G21" s="31"/>
      <c r="H21" s="32"/>
      <c r="I21" s="17"/>
      <c r="J21" s="39"/>
      <c r="K21" s="18"/>
      <c r="L21" s="18"/>
      <c r="M21" s="35"/>
      <c r="N21" s="35"/>
      <c r="S21" s="36"/>
      <c r="T21" s="36"/>
      <c r="U21" s="36"/>
      <c r="W21" s="36"/>
      <c r="X21" s="38"/>
      <c r="AG21" s="35"/>
      <c r="AH21" s="35"/>
      <c r="AI21" s="35"/>
      <c r="AJ21" s="35"/>
    </row>
    <row r="22" spans="3:36" s="33" customFormat="1" x14ac:dyDescent="0.3">
      <c r="C22" s="30"/>
      <c r="D22" s="30"/>
      <c r="E22" s="30"/>
      <c r="F22" s="30"/>
      <c r="G22" s="31"/>
      <c r="H22" s="32"/>
      <c r="I22" s="17"/>
      <c r="J22" s="39"/>
      <c r="K22" s="18"/>
      <c r="L22" s="50"/>
      <c r="M22" s="35"/>
      <c r="N22" s="35"/>
      <c r="S22" s="36"/>
      <c r="T22" s="36"/>
      <c r="U22" s="36"/>
      <c r="W22" s="36"/>
      <c r="X22" s="38"/>
      <c r="AG22" s="35"/>
      <c r="AH22" s="35"/>
      <c r="AI22" s="35"/>
      <c r="AJ22" s="35"/>
    </row>
    <row r="23" spans="3:36" s="33" customFormat="1" x14ac:dyDescent="0.3">
      <c r="C23" s="30"/>
      <c r="D23" s="30"/>
      <c r="E23" s="30"/>
      <c r="F23" s="30"/>
      <c r="G23" s="31"/>
      <c r="H23" s="32"/>
      <c r="I23" s="17"/>
      <c r="J23" s="39"/>
      <c r="K23" s="18"/>
      <c r="L23" s="50"/>
      <c r="M23" s="35"/>
      <c r="N23" s="35"/>
      <c r="S23" s="36"/>
      <c r="T23" s="36"/>
      <c r="U23" s="36"/>
      <c r="W23" s="36"/>
      <c r="X23" s="38"/>
      <c r="AG23" s="35"/>
      <c r="AH23" s="35"/>
      <c r="AI23" s="35"/>
      <c r="AJ23" s="35"/>
    </row>
    <row r="24" spans="3:36" s="33" customFormat="1" x14ac:dyDescent="0.3">
      <c r="C24" s="30"/>
      <c r="D24" s="30"/>
      <c r="E24" s="30"/>
      <c r="F24" s="30"/>
      <c r="G24" s="31"/>
      <c r="H24" s="32"/>
      <c r="I24" s="17"/>
      <c r="J24" s="39"/>
      <c r="K24" s="18"/>
      <c r="L24" s="18"/>
      <c r="M24" s="35"/>
      <c r="N24" s="35"/>
      <c r="S24" s="36"/>
      <c r="T24" s="36"/>
      <c r="U24" s="36"/>
      <c r="W24" s="36"/>
      <c r="X24" s="38"/>
      <c r="AG24" s="35"/>
      <c r="AH24" s="35"/>
      <c r="AI24" s="35"/>
      <c r="AJ24" s="35"/>
    </row>
    <row r="25" spans="3:36" s="33" customFormat="1" x14ac:dyDescent="0.3">
      <c r="C25" s="30"/>
      <c r="D25" s="30"/>
      <c r="E25" s="30"/>
      <c r="F25" s="30"/>
      <c r="G25" s="31"/>
      <c r="H25" s="32"/>
      <c r="I25" s="17"/>
      <c r="J25" s="39"/>
      <c r="K25" s="18"/>
      <c r="L25" s="18"/>
      <c r="M25" s="35"/>
      <c r="N25" s="35"/>
      <c r="S25" s="36"/>
      <c r="T25" s="36"/>
      <c r="U25" s="36"/>
      <c r="W25" s="36"/>
      <c r="X25" s="38"/>
      <c r="AG25" s="35"/>
      <c r="AH25" s="35"/>
      <c r="AI25" s="35"/>
      <c r="AJ25" s="35"/>
    </row>
    <row r="26" spans="3:36" s="33" customFormat="1" x14ac:dyDescent="0.3">
      <c r="C26" s="30"/>
      <c r="D26" s="30"/>
      <c r="E26" s="30"/>
      <c r="F26" s="30"/>
      <c r="G26" s="31"/>
      <c r="H26" s="32"/>
      <c r="I26" s="17"/>
      <c r="J26" s="39"/>
      <c r="K26" s="18"/>
      <c r="L26" s="18"/>
      <c r="M26" s="35"/>
      <c r="N26" s="35"/>
      <c r="S26" s="36"/>
      <c r="T26" s="36"/>
      <c r="U26" s="36"/>
      <c r="W26" s="36"/>
      <c r="X26" s="38"/>
      <c r="AG26" s="35"/>
      <c r="AH26" s="35"/>
      <c r="AI26" s="35"/>
      <c r="AJ26" s="35"/>
    </row>
    <row r="27" spans="3:36" s="36" customFormat="1" x14ac:dyDescent="0.3">
      <c r="C27" s="30"/>
      <c r="D27" s="30"/>
      <c r="E27" s="30"/>
      <c r="F27" s="30"/>
      <c r="G27" s="31"/>
      <c r="H27" s="48"/>
      <c r="I27" s="39"/>
      <c r="J27" s="39"/>
      <c r="K27" s="40"/>
      <c r="L27" s="40"/>
      <c r="M27" s="38"/>
      <c r="N27" s="38"/>
      <c r="X27" s="38"/>
      <c r="AG27" s="38"/>
      <c r="AH27" s="38"/>
      <c r="AI27" s="38"/>
      <c r="AJ27" s="38"/>
    </row>
    <row r="28" spans="3:36" s="36" customFormat="1" x14ac:dyDescent="0.3">
      <c r="C28" s="30"/>
      <c r="D28" s="30"/>
      <c r="E28" s="30"/>
      <c r="F28" s="30"/>
      <c r="G28" s="31"/>
      <c r="H28" s="48"/>
      <c r="I28" s="39"/>
      <c r="J28" s="39"/>
      <c r="K28" s="40"/>
      <c r="L28" s="40"/>
      <c r="M28" s="38"/>
      <c r="N28" s="38"/>
      <c r="X28" s="38"/>
      <c r="AG28" s="38"/>
      <c r="AH28" s="38"/>
      <c r="AI28" s="38"/>
      <c r="AJ28" s="38"/>
    </row>
    <row r="29" spans="3:36" s="36" customFormat="1" x14ac:dyDescent="0.3">
      <c r="C29" s="30"/>
      <c r="D29" s="30"/>
      <c r="E29" s="30"/>
      <c r="F29" s="30"/>
      <c r="G29" s="31"/>
      <c r="H29" s="48"/>
      <c r="I29" s="39"/>
      <c r="J29" s="39"/>
      <c r="K29" s="40"/>
      <c r="L29" s="40"/>
      <c r="M29" s="38"/>
      <c r="N29" s="38"/>
      <c r="X29" s="38"/>
      <c r="AG29" s="38"/>
      <c r="AH29" s="38"/>
      <c r="AI29" s="38"/>
      <c r="AJ29" s="38"/>
    </row>
    <row r="30" spans="3:36" s="36" customFormat="1" x14ac:dyDescent="0.3">
      <c r="C30" s="30"/>
      <c r="D30" s="30"/>
      <c r="E30" s="30"/>
      <c r="F30" s="30"/>
      <c r="G30" s="31"/>
      <c r="H30" s="48"/>
      <c r="I30" s="39"/>
      <c r="J30" s="39"/>
      <c r="K30" s="40"/>
      <c r="L30" s="40"/>
      <c r="M30" s="38"/>
      <c r="N30" s="38"/>
      <c r="X30" s="38"/>
      <c r="AG30" s="38"/>
      <c r="AH30" s="38"/>
      <c r="AI30" s="38"/>
      <c r="AJ30" s="38"/>
    </row>
    <row r="31" spans="3:36" s="36" customFormat="1" x14ac:dyDescent="0.3">
      <c r="C31" s="30"/>
      <c r="D31" s="30"/>
      <c r="E31" s="30"/>
      <c r="F31" s="30"/>
      <c r="G31" s="31"/>
      <c r="H31" s="48"/>
      <c r="I31" s="39"/>
      <c r="J31" s="39"/>
      <c r="K31" s="40"/>
      <c r="L31" s="40"/>
      <c r="M31" s="38"/>
      <c r="N31" s="38"/>
      <c r="X31" s="38"/>
      <c r="AG31" s="38"/>
      <c r="AH31" s="38"/>
      <c r="AI31" s="38"/>
      <c r="AJ31" s="38"/>
    </row>
    <row r="32" spans="3:36" s="36" customFormat="1" x14ac:dyDescent="0.3">
      <c r="C32" s="30"/>
      <c r="D32" s="30"/>
      <c r="E32" s="30"/>
      <c r="F32" s="30"/>
      <c r="G32" s="31"/>
      <c r="H32" s="48"/>
      <c r="I32" s="39"/>
      <c r="J32" s="39"/>
      <c r="K32" s="40"/>
      <c r="L32" s="40"/>
      <c r="M32" s="38"/>
      <c r="N32" s="38"/>
      <c r="X32" s="38"/>
      <c r="AG32" s="38"/>
      <c r="AH32" s="38"/>
      <c r="AI32" s="38"/>
      <c r="AJ32" s="38"/>
    </row>
    <row r="33" spans="3:102" s="36" customFormat="1" x14ac:dyDescent="0.3">
      <c r="C33" s="30"/>
      <c r="D33" s="30"/>
      <c r="E33" s="30"/>
      <c r="F33" s="30"/>
      <c r="G33" s="31"/>
      <c r="H33" s="48"/>
      <c r="I33" s="39"/>
      <c r="J33" s="39"/>
      <c r="K33" s="40"/>
      <c r="L33" s="40"/>
      <c r="M33" s="38"/>
      <c r="N33" s="38"/>
      <c r="X33" s="38"/>
      <c r="AG33" s="38"/>
      <c r="AH33" s="38"/>
      <c r="AI33" s="38"/>
      <c r="AJ33" s="38"/>
    </row>
    <row r="34" spans="3:102" s="36" customFormat="1" x14ac:dyDescent="0.3">
      <c r="C34" s="30"/>
      <c r="D34" s="30"/>
      <c r="E34" s="30"/>
      <c r="F34" s="30"/>
      <c r="G34" s="31"/>
      <c r="H34" s="48"/>
      <c r="I34" s="39"/>
      <c r="J34" s="39"/>
      <c r="K34" s="40"/>
      <c r="L34" s="40"/>
      <c r="M34" s="38"/>
      <c r="N34" s="38"/>
      <c r="X34" s="38"/>
      <c r="AG34" s="38"/>
      <c r="AH34" s="38"/>
      <c r="AI34" s="38"/>
      <c r="AJ34" s="38"/>
    </row>
    <row r="35" spans="3:102" s="36" customFormat="1" x14ac:dyDescent="0.3">
      <c r="C35" s="30"/>
      <c r="D35" s="30"/>
      <c r="E35" s="30"/>
      <c r="F35" s="30"/>
      <c r="G35" s="31"/>
      <c r="H35" s="48"/>
      <c r="I35" s="39"/>
      <c r="J35" s="39"/>
      <c r="K35" s="40"/>
      <c r="L35" s="40"/>
      <c r="M35" s="38"/>
      <c r="N35" s="38"/>
      <c r="X35" s="38"/>
      <c r="AG35" s="38"/>
      <c r="AH35" s="38"/>
      <c r="AI35" s="38"/>
      <c r="AJ35" s="38"/>
    </row>
    <row r="36" spans="3:102" s="36" customFormat="1" x14ac:dyDescent="0.3">
      <c r="C36" s="30"/>
      <c r="D36" s="30"/>
      <c r="E36" s="30"/>
      <c r="F36" s="30"/>
      <c r="G36" s="31"/>
      <c r="H36" s="48"/>
      <c r="I36" s="39"/>
      <c r="J36" s="39"/>
      <c r="K36" s="40"/>
      <c r="L36" s="40"/>
      <c r="M36" s="38"/>
      <c r="N36" s="38"/>
      <c r="X36" s="38"/>
      <c r="AG36" s="38"/>
      <c r="AH36" s="38"/>
      <c r="AI36" s="38"/>
      <c r="AJ36" s="38"/>
    </row>
    <row r="37" spans="3:102" s="36" customFormat="1" x14ac:dyDescent="0.3">
      <c r="C37" s="30"/>
      <c r="D37" s="30"/>
      <c r="E37" s="30"/>
      <c r="F37" s="30"/>
      <c r="G37" s="31"/>
      <c r="H37" s="48"/>
      <c r="I37" s="39"/>
      <c r="J37" s="39"/>
      <c r="K37" s="40"/>
      <c r="L37" s="40"/>
      <c r="M37" s="38"/>
      <c r="N37" s="38"/>
      <c r="X37" s="38"/>
      <c r="AG37" s="38"/>
      <c r="AH37" s="38"/>
      <c r="AI37" s="38"/>
      <c r="AJ37" s="38"/>
    </row>
    <row r="38" spans="3:102" s="36" customFormat="1" x14ac:dyDescent="0.3">
      <c r="C38" s="30"/>
      <c r="D38" s="30"/>
      <c r="E38" s="30"/>
      <c r="F38" s="30"/>
      <c r="G38" s="31"/>
      <c r="H38" s="48"/>
      <c r="I38" s="39"/>
      <c r="J38" s="39"/>
      <c r="K38" s="40"/>
      <c r="L38" s="40"/>
      <c r="M38" s="38"/>
      <c r="N38" s="38"/>
      <c r="X38" s="38"/>
      <c r="AG38" s="38"/>
      <c r="AH38" s="38"/>
      <c r="AI38" s="38"/>
      <c r="AJ38" s="38"/>
    </row>
    <row r="39" spans="3:102" s="36" customFormat="1" x14ac:dyDescent="0.3">
      <c r="C39" s="30"/>
      <c r="D39" s="30"/>
      <c r="E39" s="30"/>
      <c r="F39" s="30"/>
      <c r="G39" s="31"/>
      <c r="H39" s="48"/>
      <c r="I39" s="39"/>
      <c r="J39" s="39"/>
      <c r="K39" s="40"/>
      <c r="L39" s="40"/>
      <c r="M39" s="38"/>
      <c r="N39" s="38"/>
      <c r="X39" s="38"/>
      <c r="AG39" s="38"/>
      <c r="AH39" s="38"/>
      <c r="AI39" s="38"/>
      <c r="AJ39" s="38"/>
    </row>
    <row r="40" spans="3:102" s="36" customFormat="1" x14ac:dyDescent="0.3">
      <c r="C40" s="30"/>
      <c r="D40" s="30"/>
      <c r="E40" s="30"/>
      <c r="F40" s="30"/>
      <c r="G40" s="31"/>
      <c r="H40" s="48"/>
      <c r="I40" s="39"/>
      <c r="J40" s="39"/>
      <c r="K40" s="40"/>
      <c r="L40" s="40"/>
      <c r="M40" s="38"/>
      <c r="N40" s="38"/>
      <c r="X40" s="38"/>
      <c r="AG40" s="38"/>
      <c r="AH40" s="38"/>
      <c r="AI40" s="38"/>
      <c r="AJ40" s="38"/>
    </row>
    <row r="41" spans="3:102" s="36" customFormat="1" x14ac:dyDescent="0.3">
      <c r="C41" s="30"/>
      <c r="D41" s="30"/>
      <c r="E41" s="30"/>
      <c r="F41" s="30"/>
      <c r="G41" s="31"/>
      <c r="H41" s="48"/>
      <c r="I41" s="39"/>
      <c r="J41" s="39"/>
      <c r="K41" s="40"/>
      <c r="L41" s="40"/>
      <c r="M41" s="38"/>
      <c r="N41" s="38"/>
      <c r="X41" s="38"/>
      <c r="AG41" s="38"/>
      <c r="AH41" s="38"/>
      <c r="AI41" s="38"/>
      <c r="AJ41" s="38"/>
    </row>
    <row r="42" spans="3:102" s="36" customFormat="1" x14ac:dyDescent="0.3">
      <c r="C42" s="30"/>
      <c r="D42" s="30"/>
      <c r="E42" s="30"/>
      <c r="F42" s="30"/>
      <c r="G42" s="31"/>
      <c r="H42" s="48"/>
      <c r="I42" s="39"/>
      <c r="J42" s="39"/>
      <c r="K42" s="40"/>
      <c r="L42" s="40"/>
      <c r="M42" s="38"/>
      <c r="N42" s="38"/>
      <c r="X42" s="38"/>
      <c r="AG42" s="38"/>
      <c r="AH42" s="38"/>
      <c r="AI42" s="38"/>
      <c r="AJ42" s="38"/>
    </row>
    <row r="43" spans="3:102" s="36" customFormat="1" x14ac:dyDescent="0.3">
      <c r="C43" s="30"/>
      <c r="D43" s="30"/>
      <c r="E43" s="30"/>
      <c r="F43" s="30"/>
      <c r="G43" s="31"/>
      <c r="H43" s="48"/>
      <c r="I43" s="39"/>
      <c r="J43" s="39"/>
      <c r="K43" s="40"/>
      <c r="L43" s="40"/>
      <c r="M43" s="38"/>
      <c r="N43" s="38"/>
      <c r="X43" s="38"/>
      <c r="AG43" s="38"/>
      <c r="AH43" s="38"/>
      <c r="AI43" s="38"/>
      <c r="AJ43" s="38"/>
    </row>
    <row r="44" spans="3:102" s="36" customFormat="1" x14ac:dyDescent="0.3">
      <c r="C44" s="30"/>
      <c r="D44" s="30"/>
      <c r="E44" s="30"/>
      <c r="F44" s="30"/>
      <c r="G44" s="31"/>
      <c r="H44" s="48"/>
      <c r="I44" s="39"/>
      <c r="J44" s="39"/>
      <c r="K44" s="40"/>
      <c r="L44" s="40"/>
      <c r="M44" s="38"/>
      <c r="N44" s="38"/>
      <c r="X44" s="38"/>
      <c r="AG44" s="38"/>
      <c r="AH44" s="38"/>
      <c r="AI44" s="38"/>
      <c r="AJ44" s="38"/>
    </row>
    <row r="45" spans="3:102" s="36" customFormat="1" x14ac:dyDescent="0.3">
      <c r="C45" s="30"/>
      <c r="D45" s="30"/>
      <c r="E45" s="30"/>
      <c r="F45" s="30"/>
      <c r="G45" s="31"/>
      <c r="H45" s="48"/>
      <c r="I45" s="39"/>
      <c r="J45" s="39"/>
      <c r="K45" s="40"/>
      <c r="L45" s="40"/>
      <c r="M45" s="38"/>
      <c r="N45" s="38"/>
      <c r="X45" s="38"/>
      <c r="AG45" s="38"/>
      <c r="AH45" s="38"/>
      <c r="AI45" s="38"/>
      <c r="AJ45" s="38"/>
    </row>
    <row r="46" spans="3:102" s="33" customFormat="1" x14ac:dyDescent="0.3">
      <c r="C46" s="30"/>
      <c r="D46" s="30"/>
      <c r="E46" s="30"/>
      <c r="F46" s="30"/>
      <c r="G46" s="31"/>
      <c r="H46" s="32"/>
      <c r="I46" s="17"/>
      <c r="J46" s="39"/>
      <c r="K46" s="18"/>
      <c r="L46" s="18"/>
      <c r="M46" s="35"/>
      <c r="N46" s="35"/>
      <c r="S46" s="36"/>
      <c r="T46" s="36"/>
      <c r="U46" s="36"/>
      <c r="W46" s="36"/>
      <c r="X46" s="38"/>
      <c r="AG46" s="35"/>
      <c r="AH46" s="35"/>
      <c r="AI46" s="35"/>
      <c r="AJ46" s="35"/>
    </row>
    <row r="47" spans="3:102" s="36" customFormat="1" x14ac:dyDescent="0.2">
      <c r="C47" s="44" t="str">
        <f>'Eingabeblatt 2'!G9</f>
        <v>Gesamt-BGF Referenzgebäude</v>
      </c>
      <c r="D47" s="44"/>
      <c r="F47" s="44">
        <f>'Eingabeblatt 2'!J9</f>
        <v>14000</v>
      </c>
      <c r="G47" s="259" t="s">
        <v>25</v>
      </c>
      <c r="H47" s="42"/>
      <c r="I47" s="39"/>
      <c r="J47" s="39"/>
      <c r="K47" s="40"/>
      <c r="L47" s="40"/>
      <c r="M47" s="38"/>
      <c r="N47" s="38"/>
      <c r="X47" s="38"/>
      <c r="AG47" s="38"/>
      <c r="AH47" s="38"/>
      <c r="AI47" s="38"/>
      <c r="AJ47" s="38"/>
    </row>
    <row r="48" spans="3:102" s="36" customFormat="1" x14ac:dyDescent="0.2">
      <c r="C48" s="44" t="str">
        <f>'Eingabeblatt 2'!N9</f>
        <v>Gesamt-BGF nachhaltiges Gebäude</v>
      </c>
      <c r="D48" s="44"/>
      <c r="F48" s="44">
        <f>'Eingabeblatt 2'!P9</f>
        <v>10250</v>
      </c>
      <c r="G48" s="259" t="s">
        <v>25</v>
      </c>
      <c r="H48" s="42"/>
      <c r="I48" s="39"/>
      <c r="J48" s="39"/>
      <c r="K48" s="40"/>
      <c r="L48" s="40"/>
      <c r="M48" s="38"/>
      <c r="N48" s="38"/>
      <c r="P48" s="87"/>
      <c r="Q48" s="87"/>
      <c r="R48" s="87"/>
      <c r="S48" s="87"/>
      <c r="T48" s="87"/>
      <c r="U48" s="87"/>
      <c r="V48" s="87"/>
      <c r="W48" s="87"/>
      <c r="X48" s="88"/>
      <c r="Y48" s="87"/>
      <c r="Z48" s="87"/>
      <c r="AA48" s="87"/>
      <c r="AB48" s="87"/>
      <c r="AC48" s="87"/>
      <c r="AD48" s="87"/>
      <c r="AE48" s="87"/>
      <c r="AF48" s="87"/>
      <c r="AG48" s="88"/>
      <c r="AH48" s="88"/>
      <c r="AI48" s="88"/>
      <c r="AJ48" s="88"/>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c r="CS48" s="87"/>
      <c r="CT48" s="87"/>
      <c r="CU48" s="87"/>
      <c r="CV48" s="87"/>
      <c r="CW48" s="87"/>
      <c r="CX48" s="87"/>
    </row>
    <row r="49" spans="1:102" x14ac:dyDescent="0.3">
      <c r="B49" s="20"/>
      <c r="F49" s="49"/>
      <c r="K49" s="47"/>
      <c r="P49" s="89"/>
      <c r="Q49" s="89"/>
      <c r="R49" s="89"/>
      <c r="S49" s="89"/>
      <c r="T49" s="89"/>
      <c r="U49" s="89"/>
      <c r="V49" s="89"/>
      <c r="W49" s="89"/>
      <c r="X49" s="90"/>
      <c r="Y49" s="89"/>
      <c r="Z49" s="89"/>
      <c r="AA49" s="89"/>
      <c r="AB49" s="89"/>
      <c r="AC49" s="89"/>
      <c r="AD49" s="89"/>
      <c r="AE49" s="89"/>
      <c r="AF49" s="89"/>
      <c r="AG49" s="90"/>
      <c r="AH49" s="90"/>
      <c r="AI49" s="90"/>
      <c r="AJ49" s="90"/>
      <c r="AK49" s="89"/>
      <c r="AL49" s="89"/>
      <c r="AM49" s="89"/>
      <c r="AN49" s="89"/>
      <c r="AO49" s="89"/>
      <c r="AP49" s="89"/>
      <c r="AQ49" s="89"/>
      <c r="AR49" s="89"/>
      <c r="AS49" s="89"/>
      <c r="AT49" s="89"/>
      <c r="AU49" s="89"/>
      <c r="AV49" s="89"/>
      <c r="AW49" s="89"/>
      <c r="AX49" s="89"/>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c r="CP49" s="87"/>
      <c r="CQ49" s="87"/>
      <c r="CR49" s="87"/>
      <c r="CS49" s="87"/>
      <c r="CT49" s="87"/>
      <c r="CU49" s="87"/>
      <c r="CV49" s="87"/>
      <c r="CW49" s="87"/>
      <c r="CX49" s="87"/>
    </row>
    <row r="50" spans="1:102" ht="15" customHeight="1" x14ac:dyDescent="0.3">
      <c r="B50" s="20"/>
      <c r="C50" s="484" t="s">
        <v>110</v>
      </c>
      <c r="D50" s="485"/>
      <c r="E50" s="485"/>
      <c r="F50" s="485"/>
      <c r="G50" s="485"/>
      <c r="H50" s="485"/>
      <c r="I50" s="485"/>
      <c r="J50" s="485"/>
      <c r="K50" s="485"/>
      <c r="L50" s="485"/>
      <c r="M50" s="485"/>
      <c r="N50" s="485"/>
      <c r="O50" s="485"/>
      <c r="P50" s="89"/>
      <c r="Q50" s="89"/>
      <c r="R50" s="89"/>
      <c r="S50" s="89"/>
      <c r="T50" s="89"/>
      <c r="U50" s="89"/>
      <c r="V50" s="89"/>
      <c r="W50" s="89"/>
      <c r="X50" s="90"/>
      <c r="Y50" s="89"/>
      <c r="Z50" s="89"/>
      <c r="AA50" s="89"/>
      <c r="AB50" s="89"/>
      <c r="AC50" s="89"/>
      <c r="AD50" s="89"/>
      <c r="AE50" s="90" t="s">
        <v>36</v>
      </c>
      <c r="AF50" s="89"/>
      <c r="AG50" s="90"/>
      <c r="AH50" s="90"/>
      <c r="AI50" s="90"/>
      <c r="AJ50" s="90" t="s">
        <v>39</v>
      </c>
      <c r="AK50" s="89"/>
      <c r="AL50" s="89"/>
      <c r="AM50" s="89"/>
      <c r="AN50" s="89"/>
      <c r="AO50" s="89"/>
      <c r="AP50" s="89"/>
      <c r="AQ50" s="89"/>
      <c r="AR50" s="89"/>
      <c r="AS50" s="89"/>
      <c r="AT50" s="89"/>
      <c r="AU50" s="89"/>
      <c r="AV50" s="89"/>
      <c r="AW50" s="89"/>
      <c r="AX50" s="89"/>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87"/>
      <c r="CO50" s="87"/>
      <c r="CP50" s="87"/>
      <c r="CQ50" s="87"/>
      <c r="CR50" s="87"/>
      <c r="CS50" s="87"/>
      <c r="CT50" s="87"/>
      <c r="CU50" s="87"/>
      <c r="CV50" s="87"/>
      <c r="CW50" s="87"/>
      <c r="CX50" s="87"/>
    </row>
    <row r="51" spans="1:102" ht="40.799999999999997" x14ac:dyDescent="0.3">
      <c r="B51" s="20"/>
      <c r="C51" s="25" t="s">
        <v>160</v>
      </c>
      <c r="D51" s="25" t="s">
        <v>161</v>
      </c>
      <c r="E51" s="25" t="s">
        <v>162</v>
      </c>
      <c r="F51" s="55" t="s">
        <v>163</v>
      </c>
      <c r="G51" s="25" t="s">
        <v>164</v>
      </c>
      <c r="H51" s="25" t="s">
        <v>165</v>
      </c>
      <c r="I51" s="25" t="s">
        <v>219</v>
      </c>
      <c r="J51" s="27" t="s">
        <v>166</v>
      </c>
      <c r="K51" s="27" t="s">
        <v>167</v>
      </c>
      <c r="L51" s="27" t="s">
        <v>168</v>
      </c>
      <c r="M51" s="85" t="s">
        <v>233</v>
      </c>
      <c r="N51" s="26" t="s">
        <v>217</v>
      </c>
      <c r="O51" s="26" t="s">
        <v>218</v>
      </c>
      <c r="P51" s="89"/>
      <c r="Q51" s="91" t="s">
        <v>44</v>
      </c>
      <c r="R51" s="92" t="s">
        <v>170</v>
      </c>
      <c r="S51" s="91" t="s">
        <v>45</v>
      </c>
      <c r="T51" s="91" t="s">
        <v>171</v>
      </c>
      <c r="U51" s="91" t="s">
        <v>46</v>
      </c>
      <c r="V51" s="91" t="s">
        <v>172</v>
      </c>
      <c r="W51" s="91" t="s">
        <v>47</v>
      </c>
      <c r="X51" s="91" t="s">
        <v>173</v>
      </c>
      <c r="Y51" s="92" t="s">
        <v>41</v>
      </c>
      <c r="Z51" s="89"/>
      <c r="AA51" s="89"/>
      <c r="AB51" s="89"/>
      <c r="AC51" s="89"/>
      <c r="AD51" s="89"/>
      <c r="AE51" s="90" t="s">
        <v>174</v>
      </c>
      <c r="AF51" s="90" t="s">
        <v>37</v>
      </c>
      <c r="AG51" s="90" t="s">
        <v>175</v>
      </c>
      <c r="AH51" s="90" t="s">
        <v>38</v>
      </c>
      <c r="AI51" s="90"/>
      <c r="AJ51" s="90"/>
      <c r="AK51" s="89"/>
      <c r="AL51" s="89"/>
      <c r="AM51" s="89"/>
      <c r="AN51" s="89"/>
      <c r="AO51" s="90" t="s">
        <v>176</v>
      </c>
      <c r="AP51" s="90" t="s">
        <v>177</v>
      </c>
      <c r="AQ51" s="90" t="s">
        <v>178</v>
      </c>
      <c r="AR51" s="89"/>
      <c r="AS51" s="89"/>
      <c r="AT51" s="89"/>
      <c r="AU51" s="89"/>
      <c r="AV51" s="89"/>
      <c r="AW51" s="89"/>
      <c r="AX51" s="89"/>
      <c r="AY51" s="87"/>
      <c r="AZ51" s="87"/>
      <c r="BA51" s="87"/>
      <c r="BB51" s="87"/>
      <c r="BC51" s="87"/>
      <c r="BD51" s="87"/>
      <c r="BE51" s="87"/>
      <c r="BF51" s="87"/>
      <c r="BG51" s="87"/>
      <c r="BH51" s="87"/>
      <c r="BI51" s="87"/>
      <c r="BJ51" s="87"/>
      <c r="BK51" s="87"/>
      <c r="BL51" s="87"/>
      <c r="BM51" s="87"/>
      <c r="BN51" s="87"/>
      <c r="BO51" s="87"/>
      <c r="BP51" s="87"/>
      <c r="BQ51" s="87"/>
      <c r="BR51" s="87"/>
      <c r="BS51" s="87"/>
      <c r="BT51" s="87"/>
      <c r="BU51" s="87"/>
      <c r="BV51" s="87"/>
      <c r="BW51" s="87"/>
      <c r="BX51" s="87"/>
      <c r="BY51" s="87"/>
      <c r="BZ51" s="87"/>
      <c r="CA51" s="87"/>
      <c r="CB51" s="87"/>
      <c r="CC51" s="87"/>
      <c r="CD51" s="87"/>
      <c r="CE51" s="87"/>
      <c r="CF51" s="87"/>
      <c r="CG51" s="87"/>
      <c r="CH51" s="87"/>
      <c r="CI51" s="87"/>
      <c r="CJ51" s="87"/>
      <c r="CK51" s="87"/>
      <c r="CL51" s="87"/>
      <c r="CM51" s="87"/>
      <c r="CN51" s="87"/>
      <c r="CO51" s="87"/>
      <c r="CP51" s="87"/>
      <c r="CQ51" s="87"/>
      <c r="CR51" s="87"/>
      <c r="CS51" s="87"/>
      <c r="CT51" s="87"/>
      <c r="CU51" s="87"/>
      <c r="CV51" s="87"/>
      <c r="CW51" s="87"/>
      <c r="CX51" s="87"/>
    </row>
    <row r="52" spans="1:102" x14ac:dyDescent="0.3">
      <c r="A52" s="28">
        <v>0</v>
      </c>
      <c r="B52" s="20"/>
      <c r="C52" s="56">
        <f>IF(A52&lt;='Eingabeblatt 1'!D18,2018,"")</f>
        <v>2018</v>
      </c>
      <c r="D52" s="57">
        <f>IF(A52&lt;='Eingabeblatt 1'!$D$18,0,"")</f>
        <v>0</v>
      </c>
      <c r="E52" s="58">
        <f>IF(A52&lt;='Eingabeblatt 1'!$D$18,IF(D52='Eingabeblatt 1'!D65,-'Eingabeblatt 1'!L65-'Eingabeblatt 2'!O39,-'Eingabeblatt 1'!F64),"")</f>
        <v>-30436100.955750003</v>
      </c>
      <c r="F52" s="58"/>
      <c r="G52" s="58"/>
      <c r="H52" s="58"/>
      <c r="I52" s="58"/>
      <c r="J52" s="59"/>
      <c r="K52" s="60"/>
      <c r="L52" s="81"/>
      <c r="M52" s="61">
        <f>IF(A52&lt;='Eingabeblatt 1'!$D$18,SUM(G52:L52)+E52,"")</f>
        <v>-30436100.955750003</v>
      </c>
      <c r="N52" s="82">
        <f>IF(A52&lt;='Eingabeblatt 1'!$D$18,(E52+G52+H52+I52+J52+K52+L52)/(1+'Eingabeblatt 1'!$D$19)^D52,"")</f>
        <v>-30436100.955750003</v>
      </c>
      <c r="O52" s="418">
        <f>IF(A52&lt;='Eingabeblatt 1'!$D$18,N52,"")</f>
        <v>-30436100.955750003</v>
      </c>
      <c r="P52" s="89"/>
      <c r="Q52" s="93">
        <f>SUMIFS('Eingabeblatt 2'!O14:O36,'Eingabeblatt 2'!E14:E36,40)</f>
        <v>2642860</v>
      </c>
      <c r="R52" s="89"/>
      <c r="S52" s="94">
        <f>SUMIFS('Eingabeblatt 2'!O14:O36,'Eingabeblatt 2'!E14:E36,30)</f>
        <v>0</v>
      </c>
      <c r="T52" s="89"/>
      <c r="U52" s="93">
        <f>SUMIFS('Eingabeblatt 2'!O14:O36,'Eingabeblatt 2'!E14:E36,20)</f>
        <v>10643897.25</v>
      </c>
      <c r="V52" s="89"/>
      <c r="W52" s="93">
        <f>SUMIFS('Eingabeblatt 2'!O14:O36,'Eingabeblatt 2'!E14:E36,10)</f>
        <v>4724901.5</v>
      </c>
      <c r="X52" s="90"/>
      <c r="Y52" s="94"/>
      <c r="Z52" s="89"/>
      <c r="AA52" s="89"/>
      <c r="AB52" s="89"/>
      <c r="AC52" s="89"/>
      <c r="AD52" s="90">
        <v>0</v>
      </c>
      <c r="AE52" s="95">
        <f t="shared" ref="AE52:AE92" si="0">O52</f>
        <v>-30436100.955750003</v>
      </c>
      <c r="AF52" s="95">
        <f t="shared" ref="AF52:AF92" si="1">O98</f>
        <v>-30652634.039999999</v>
      </c>
      <c r="AG52" s="95">
        <f>IFERROR(AF52-AE52,0)</f>
        <v>-216533.08424999565</v>
      </c>
      <c r="AH52" s="96">
        <f t="shared" ref="AH52:AH92" si="2">IF(AND(AG52&gt;0,AG53&lt;=0),C52-$C$52+(AG52/(AG52-AG53)),0)</f>
        <v>0</v>
      </c>
      <c r="AI52" s="90"/>
      <c r="AJ52" s="90"/>
      <c r="AK52" s="90">
        <f>IF(AE52&gt;0,AD52,0)</f>
        <v>0</v>
      </c>
      <c r="AL52" s="90">
        <f>IF(AF52&gt;0,AD52,0)</f>
        <v>0</v>
      </c>
      <c r="AM52" s="89"/>
      <c r="AN52" s="89"/>
      <c r="AO52" s="93">
        <f t="shared" ref="AO52:AO92" si="3">SUM(F52:L52)</f>
        <v>0</v>
      </c>
      <c r="AP52" s="93">
        <f t="shared" ref="AP52:AP92" si="4">SUM(F98:L98)</f>
        <v>0</v>
      </c>
      <c r="AQ52" s="93">
        <f>(-AO52)-(-AP52)</f>
        <v>0</v>
      </c>
      <c r="AR52" s="89"/>
      <c r="AS52" s="89"/>
      <c r="AT52" s="89"/>
      <c r="AU52" s="89"/>
      <c r="AV52" s="89"/>
      <c r="AW52" s="89"/>
      <c r="AX52" s="89"/>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87"/>
      <c r="CU52" s="87"/>
      <c r="CV52" s="87"/>
      <c r="CW52" s="87"/>
      <c r="CX52" s="87"/>
    </row>
    <row r="53" spans="1:102" x14ac:dyDescent="0.3">
      <c r="A53" s="28">
        <v>1</v>
      </c>
      <c r="B53" s="20"/>
      <c r="C53" s="62">
        <f>IF(A53&lt;='Eingabeblatt 1'!$D$18,C52+1,"")</f>
        <v>2019</v>
      </c>
      <c r="D53" s="63">
        <f>IF(A53&lt;='Eingabeblatt 1'!$D$18,D52+1,"")</f>
        <v>1</v>
      </c>
      <c r="E53" s="64">
        <f>IF(A53&lt;='Eingabeblatt 1'!$D$18,IF(D53='Eingabeblatt 1'!$D$65,-'Eingabeblatt 1'!$L$65*(1+'Eingabeblatt 1'!$J$65)^D53,IF(D53='Eingabeblatt 1'!$D$66,-'Eingabeblatt 1'!$L$66*(1+'Eingabeblatt 1'!$J$66)^D53,IF(D53='Eingabeblatt 1'!$D$67,-'Eingabeblatt 1'!$L$67*(1+'Eingabeblatt 1'!$J$67)^D53,0))),"")</f>
        <v>0</v>
      </c>
      <c r="F53" s="64">
        <f>-Y53</f>
        <v>-1409574.5572500001</v>
      </c>
      <c r="G53" s="65">
        <f>IF(A53&lt;='Eingabeblatt 1'!$D$18,IF(D53='Eingabeblatt 1'!$D$72,-('Eingabeblatt 1'!$L$71+'Eingabeblatt 1'!$L$72)*(1+'Eingabeblatt 1'!$J$71)^Ergebnis!D53,-('Eingabeblatt 1'!$L$71)*(1+'Eingabeblatt 1'!$J$71)^Ergebnis!D53),"")</f>
        <v>-428400</v>
      </c>
      <c r="H53" s="66">
        <f>IF(A53&lt;='Eingabeblatt 1'!$D$18,-'Eingabeblatt 1'!L73,"")</f>
        <v>-315000</v>
      </c>
      <c r="I53" s="66">
        <f>IF(A53&lt;='Eingabeblatt 1'!$D$18,(-'Eingabeblatt 1'!L75*(1+'Eingabeblatt 1'!J75)^Ergebnis!D53)-('Eingabeblatt 1'!L76*(1+'Eingabeblatt 1'!J76)^Ergebnis!D53)-('Eingabeblatt 1'!L77*(1+'Eingabeblatt 1'!J77)^Ergebnis!D53),"")</f>
        <v>-174824.45259999999</v>
      </c>
      <c r="J53" s="67">
        <f>IF(A53&lt;='Eingabeblatt 1'!$D$18,'Eingabeblatt 1'!D80+'Eingabeblatt 1'!D81,"")</f>
        <v>5000</v>
      </c>
      <c r="K53" s="68">
        <f>IF(A53&lt;='Eingabeblatt 1'!$D$18,'Eingabeblatt 1'!L15,"")</f>
        <v>120000</v>
      </c>
      <c r="L53" s="68">
        <f>IF(D53&lt;='Eingabeblatt 1'!$D$18,(SUMIFS('Eingabeblatt 2'!$K$14:$K$53,'Eingabeblatt 2'!$Q$14:$Q$53,Ergebnis!D53))*(1+'Eingabeblatt 1'!$J$65)^Ergebnis!D53,"")</f>
        <v>0</v>
      </c>
      <c r="M53" s="373">
        <f>IF(A53&lt;='Eingabeblatt 1'!$D$18,SUM(G53:L53)+E53,"")</f>
        <v>-793224.45259999996</v>
      </c>
      <c r="N53" s="83">
        <f>IF(A53&lt;='Eingabeblatt 1'!$D$18,(E53+G53+H53+I53+J53+K53+L53)/(1+'Eingabeblatt 1'!$D$19)^D53,"")</f>
        <v>-762715.8198076922</v>
      </c>
      <c r="O53" s="419">
        <f>IF(A53&lt;='Eingabeblatt 1'!$D$18,O52+N53,"")</f>
        <v>-31198816.775557697</v>
      </c>
      <c r="P53" s="89"/>
      <c r="Q53" s="89"/>
      <c r="R53" s="93">
        <f>(((40-D53)/40*$Q$52))*('Eingabeblatt 1'!$D$20)+$Q$52/40</f>
        <v>117607.27</v>
      </c>
      <c r="S53" s="93"/>
      <c r="T53" s="93">
        <f>(((30-D53)/30*$S$52))*('Eingabeblatt 1'!$D$20)+$S$52/30</f>
        <v>0</v>
      </c>
      <c r="U53" s="93"/>
      <c r="V53" s="93">
        <f>(((20-D53)/20*$U$52))*('Eingabeblatt 1'!$D$20)+$U$52/20</f>
        <v>734428.91025000007</v>
      </c>
      <c r="W53" s="93"/>
      <c r="X53" s="93">
        <f>(((10-D53)/10*$W$52))*('Eingabeblatt 1'!$D$20)+$W$52/10</f>
        <v>557538.37700000009</v>
      </c>
      <c r="Y53" s="97">
        <f>R53+T53+V53+X53</f>
        <v>1409574.5572500001</v>
      </c>
      <c r="Z53" s="89"/>
      <c r="AA53" s="89"/>
      <c r="AB53" s="89"/>
      <c r="AC53" s="89"/>
      <c r="AD53" s="90">
        <v>1</v>
      </c>
      <c r="AE53" s="95">
        <f t="shared" si="0"/>
        <v>-31198816.775557697</v>
      </c>
      <c r="AF53" s="95">
        <f t="shared" si="1"/>
        <v>-31554043.557884615</v>
      </c>
      <c r="AG53" s="95">
        <f t="shared" ref="AG53:AG92" si="5">IFERROR(AF53-AE53,0)</f>
        <v>-355226.7823269181</v>
      </c>
      <c r="AH53" s="96">
        <f t="shared" si="2"/>
        <v>0</v>
      </c>
      <c r="AI53" s="90"/>
      <c r="AJ53" s="90"/>
      <c r="AK53" s="90">
        <f>IF(AE53&gt;0,IF(AK52=0,AD53,0),0)</f>
        <v>0</v>
      </c>
      <c r="AL53" s="90">
        <f>IF(AF53&gt;0,IF(AL52=0,AD53,0),0)</f>
        <v>0</v>
      </c>
      <c r="AM53" s="89"/>
      <c r="AN53" s="89"/>
      <c r="AO53" s="93">
        <f t="shared" si="3"/>
        <v>-2202799.00985</v>
      </c>
      <c r="AP53" s="93">
        <f t="shared" si="4"/>
        <v>-2411115.4186</v>
      </c>
      <c r="AQ53" s="93">
        <f t="shared" ref="AQ53:AQ92" si="6">AO53-AP53</f>
        <v>208316.40874999994</v>
      </c>
      <c r="AR53" s="89"/>
      <c r="AS53" s="89"/>
      <c r="AT53" s="89"/>
      <c r="AU53" s="89"/>
      <c r="AV53" s="89"/>
      <c r="AW53" s="89"/>
      <c r="AX53" s="89"/>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row>
    <row r="54" spans="1:102" x14ac:dyDescent="0.3">
      <c r="A54" s="28">
        <v>2</v>
      </c>
      <c r="B54" s="24"/>
      <c r="C54" s="62">
        <f>IF(A54&lt;='Eingabeblatt 1'!$D$18,C53+1,"")</f>
        <v>2020</v>
      </c>
      <c r="D54" s="63">
        <f>IF(A54&lt;='Eingabeblatt 1'!$D$18,D53+1,"")</f>
        <v>2</v>
      </c>
      <c r="E54" s="64">
        <f>IF(A54&lt;='Eingabeblatt 1'!$D$18,IF(D54='Eingabeblatt 1'!$D$65,-'Eingabeblatt 1'!$L$65*(1+'Eingabeblatt 1'!$J$65)^D54,IF(D54='Eingabeblatt 1'!$D$66,-'Eingabeblatt 1'!$L$66*(1+'Eingabeblatt 1'!$J$66)^D54,IF(D54='Eingabeblatt 1'!$D$67,-'Eingabeblatt 1'!$L$67*(1+'Eingabeblatt 1'!$J$67)^D54,0))),"")</f>
        <v>0</v>
      </c>
      <c r="F54" s="64">
        <f t="shared" ref="F54:F92" si="7">-Y54</f>
        <v>-1388159.4270000001</v>
      </c>
      <c r="G54" s="65">
        <f>IF(A54&lt;='Eingabeblatt 1'!$D$18,IF(D54='Eingabeblatt 1'!$D$72,-('Eingabeblatt 1'!$L$71+'Eingabeblatt 1'!$L$72)*(1+'Eingabeblatt 1'!$J$71)^Ergebnis!D54,-('Eingabeblatt 1'!$L$71)*(1+'Eingabeblatt 1'!$J$71)^Ergebnis!D54),"")</f>
        <v>-436968</v>
      </c>
      <c r="H54" s="66">
        <f>IF(A54&lt;='Eingabeblatt 1'!$D$18,H53*(1+'Eingabeblatt 1'!$J$73),"")</f>
        <v>-322087.5</v>
      </c>
      <c r="I54" s="66">
        <f>IF(A54&lt;='Eingabeblatt 1'!$D$18,(-'Eingabeblatt 1'!$L$75*(1+'Eingabeblatt 1'!$J$75)^Ergebnis!D54)-('Eingabeblatt 1'!$L$76*(1+'Eingabeblatt 1'!$J$76)^Ergebnis!D54)-('Eingabeblatt 1'!$L$77*(1+'Eingabeblatt 1'!$J$77)^Ergebnis!D54),"")</f>
        <v>-175714.97726299995</v>
      </c>
      <c r="J54" s="67">
        <f>IF(A53&lt;='Eingabeblatt 1'!$D$18,'Eingabeblatt 1'!$D$81*(1+'Eingabeblatt 1'!$J$81)^Ergebnis!D54)</f>
        <v>5100.5</v>
      </c>
      <c r="K54" s="68">
        <f>IF(A54&lt;='Eingabeblatt 1'!$D$18,'Eingabeblatt 1'!$L$15*(1+'Eingabeblatt 1'!$D$15)^D54,"")</f>
        <v>129792.00000000001</v>
      </c>
      <c r="L54" s="68">
        <f>IF(D54&lt;='Eingabeblatt 1'!$D$18,(SUMIFS('Eingabeblatt 2'!$K$14:$K$53,'Eingabeblatt 2'!$Q$14:$Q$53,Ergebnis!D54))*(1+'Eingabeblatt 1'!$J$65)^Ergebnis!D54,"")</f>
        <v>0</v>
      </c>
      <c r="M54" s="373">
        <f>IF(A54&lt;='Eingabeblatt 1'!$D$18,SUM(G54:L54)+E54,"")</f>
        <v>-799877.97726299998</v>
      </c>
      <c r="N54" s="83">
        <f>IF(A54&lt;='Eingabeblatt 1'!$D$18,(E54+G54+H54+I54+J54+K54+L54)/(1+'Eingabeblatt 1'!$D$19)^D54,"")</f>
        <v>-739532.15353457828</v>
      </c>
      <c r="O54" s="419">
        <f>IF(A54&lt;='Eingabeblatt 1'!$D$18,O53+N54,"")</f>
        <v>-31938348.929092277</v>
      </c>
      <c r="P54" s="89"/>
      <c r="Q54" s="89"/>
      <c r="R54" s="93">
        <f>(((40-D54)/40*$Q$52))*('Eingabeblatt 1'!$D$20)+$Q$52/40</f>
        <v>116285.84</v>
      </c>
      <c r="S54" s="93"/>
      <c r="T54" s="93">
        <f>(((30-D54)/30*$S$52))*('Eingabeblatt 1'!$D$20)+$S$52/30</f>
        <v>0</v>
      </c>
      <c r="U54" s="93"/>
      <c r="V54" s="93">
        <f>(((20-D54)/20*$U$52))*('Eingabeblatt 1'!$D$20)+$U$52/20</f>
        <v>723785.01300000004</v>
      </c>
      <c r="W54" s="93"/>
      <c r="X54" s="93">
        <f>(((10-D54)/10*$W$52))*('Eingabeblatt 1'!$D$20)+$W$52/10</f>
        <v>548088.57400000002</v>
      </c>
      <c r="Y54" s="97">
        <f t="shared" ref="Y54:Y92" si="8">R54+T54+V54+X54</f>
        <v>1388159.4270000001</v>
      </c>
      <c r="Z54" s="89"/>
      <c r="AA54" s="89"/>
      <c r="AB54" s="89"/>
      <c r="AC54" s="89"/>
      <c r="AD54" s="90">
        <v>2</v>
      </c>
      <c r="AE54" s="95">
        <f t="shared" si="0"/>
        <v>-31938348.929092277</v>
      </c>
      <c r="AF54" s="95">
        <f t="shared" si="1"/>
        <v>-32436186.469382394</v>
      </c>
      <c r="AG54" s="95">
        <f t="shared" si="5"/>
        <v>-497837.54029011726</v>
      </c>
      <c r="AH54" s="96">
        <f t="shared" si="2"/>
        <v>0</v>
      </c>
      <c r="AI54" s="90"/>
      <c r="AJ54" s="90"/>
      <c r="AK54" s="90">
        <f>IF(AE54&gt;0,IF(SUM(AK52:AK53)=0,AD54,0),0)</f>
        <v>0</v>
      </c>
      <c r="AL54" s="90">
        <f>IF(AF54&gt;0,IF(SUM(AL52:AL53)=0,AD54,0),0)</f>
        <v>0</v>
      </c>
      <c r="AM54" s="89"/>
      <c r="AN54" s="89"/>
      <c r="AO54" s="93">
        <f t="shared" si="3"/>
        <v>-2188037.404263</v>
      </c>
      <c r="AP54" s="93">
        <f t="shared" si="4"/>
        <v>-2405104.8130760002</v>
      </c>
      <c r="AQ54" s="93">
        <f t="shared" si="6"/>
        <v>217067.40881300019</v>
      </c>
      <c r="AR54" s="89"/>
      <c r="AS54" s="89"/>
      <c r="AT54" s="89"/>
      <c r="AU54" s="89"/>
      <c r="AV54" s="89"/>
      <c r="AW54" s="89"/>
      <c r="AX54" s="89"/>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row>
    <row r="55" spans="1:102" x14ac:dyDescent="0.3">
      <c r="A55" s="28">
        <v>3</v>
      </c>
      <c r="B55" s="20"/>
      <c r="C55" s="62">
        <f>IF(A55&lt;='Eingabeblatt 1'!$D$18,C54+1,"")</f>
        <v>2021</v>
      </c>
      <c r="D55" s="63">
        <f>IF(A55&lt;='Eingabeblatt 1'!$D$18,D54+1,"")</f>
        <v>3</v>
      </c>
      <c r="E55" s="64">
        <f>IF(A55&lt;='Eingabeblatt 1'!$D$18,IF(D55='Eingabeblatt 1'!$D$65,-'Eingabeblatt 1'!$L$65*(1+'Eingabeblatt 1'!$J$65)^D55,IF(D55='Eingabeblatt 1'!$D$66,-'Eingabeblatt 1'!$L$66*(1+'Eingabeblatt 1'!$J$66)^D55,IF(D55='Eingabeblatt 1'!$D$67,-'Eingabeblatt 1'!$L$67*(1+'Eingabeblatt 1'!$J$67)^D55,0))),"")</f>
        <v>0</v>
      </c>
      <c r="F55" s="64">
        <f t="shared" si="7"/>
        <v>-1366744.2967500002</v>
      </c>
      <c r="G55" s="65">
        <f>IF(A55&lt;='Eingabeblatt 1'!$D$18,IF(D55='Eingabeblatt 1'!$D$72,-('Eingabeblatt 1'!$L$71+'Eingabeblatt 1'!$L$72)*(1+'Eingabeblatt 1'!$J$71)^Ergebnis!D55,-('Eingabeblatt 1'!$L$71)*(1+'Eingabeblatt 1'!$J$71)^Ergebnis!D55),"")</f>
        <v>-445707.36</v>
      </c>
      <c r="H55" s="66">
        <f>IF(A55&lt;='Eingabeblatt 1'!$D$18,H54*(1+'Eingabeblatt 1'!$J$73),"")</f>
        <v>-329334.46875</v>
      </c>
      <c r="I55" s="66">
        <f>IF(A55&lt;='Eingabeblatt 1'!$D$18,(-'Eingabeblatt 1'!$L$75*(1+'Eingabeblatt 1'!$J$75)^Ergebnis!D55)-('Eingabeblatt 1'!$L$76*(1+'Eingabeblatt 1'!$J$76)^Ergebnis!D55)-('Eingabeblatt 1'!$L$77*(1+'Eingabeblatt 1'!$J$77)^Ergebnis!D55),"")</f>
        <v>-176610.11857331492</v>
      </c>
      <c r="J55" s="67">
        <f>IF(A54&lt;='Eingabeblatt 1'!$D$18,'Eingabeblatt 1'!$D$81*(1+'Eingabeblatt 1'!$J$81)^Ergebnis!D55)</f>
        <v>5151.5049999999992</v>
      </c>
      <c r="K55" s="68">
        <f>IF(A55&lt;='Eingabeblatt 1'!$D$18,'Eingabeblatt 1'!$L$15*(1+'Eingabeblatt 1'!$D$15)^D55,"")</f>
        <v>134983.68000000002</v>
      </c>
      <c r="L55" s="68">
        <f>IF(D55&lt;='Eingabeblatt 1'!$D$18,(SUMIFS('Eingabeblatt 2'!$K$14:$K$53,'Eingabeblatt 2'!$Q$14:$Q$53,Ergebnis!D55))*(1+'Eingabeblatt 1'!$J$65)^Ergebnis!D55,"")</f>
        <v>0</v>
      </c>
      <c r="M55" s="373">
        <f>IF(A55&lt;='Eingabeblatt 1'!$D$18,SUM(G55:L55)+E55,"")</f>
        <v>-811516.76232331479</v>
      </c>
      <c r="N55" s="83">
        <f>IF(A55&lt;='Eingabeblatt 1'!$D$18,(E55+G55+H55+I55+J55+K55+L55)/(1+'Eingabeblatt 1'!$D$19)^D55,"")</f>
        <v>-721435.44670583704</v>
      </c>
      <c r="O55" s="419">
        <f>IF(A55&lt;='Eingabeblatt 1'!$D$18,O54+N55,"")</f>
        <v>-32659784.375798114</v>
      </c>
      <c r="P55" s="89"/>
      <c r="Q55" s="89"/>
      <c r="R55" s="93">
        <f>(((40-D55)/40*$Q$52))*('Eingabeblatt 1'!$D$20)+$Q$52/40</f>
        <v>114964.41</v>
      </c>
      <c r="S55" s="93"/>
      <c r="T55" s="93">
        <f>(((30-D55)/30*$S$52))*('Eingabeblatt 1'!$D$20)+$S$52/30</f>
        <v>0</v>
      </c>
      <c r="U55" s="93"/>
      <c r="V55" s="93">
        <f>(((20-D55)/20*$U$52))*('Eingabeblatt 1'!$D$20)+$U$52/20</f>
        <v>713141.11575000011</v>
      </c>
      <c r="W55" s="93"/>
      <c r="X55" s="93">
        <f>(((10-D55)/10*$W$52))*('Eingabeblatt 1'!$D$20)+$W$52/10</f>
        <v>538638.77100000007</v>
      </c>
      <c r="Y55" s="97">
        <f t="shared" si="8"/>
        <v>1366744.2967500002</v>
      </c>
      <c r="Z55" s="89"/>
      <c r="AA55" s="89"/>
      <c r="AB55" s="89"/>
      <c r="AC55" s="89"/>
      <c r="AD55" s="90">
        <v>3</v>
      </c>
      <c r="AE55" s="95">
        <f t="shared" si="0"/>
        <v>-32659784.375798114</v>
      </c>
      <c r="AF55" s="95">
        <f t="shared" si="1"/>
        <v>-33299507.532972489</v>
      </c>
      <c r="AG55" s="95">
        <f t="shared" si="5"/>
        <v>-639723.15717437491</v>
      </c>
      <c r="AH55" s="96">
        <f t="shared" si="2"/>
        <v>0</v>
      </c>
      <c r="AI55" s="90"/>
      <c r="AJ55" s="90"/>
      <c r="AK55" s="90">
        <f>IF(AE55&gt;0,IF(SUM(AK52:AK54)=0,AD55,0),0)</f>
        <v>0</v>
      </c>
      <c r="AL55" s="90">
        <f>IF(AF55&gt;0,IF(SUM(AL52:AL54)=0,AD55,0),0)</f>
        <v>0</v>
      </c>
      <c r="AM55" s="89"/>
      <c r="AN55" s="89"/>
      <c r="AO55" s="93">
        <f t="shared" si="3"/>
        <v>-2178261.059073315</v>
      </c>
      <c r="AP55" s="93">
        <f t="shared" si="4"/>
        <v>-2399427.3448742102</v>
      </c>
      <c r="AQ55" s="93">
        <f t="shared" si="6"/>
        <v>221166.28580089519</v>
      </c>
      <c r="AR55" s="89"/>
      <c r="AS55" s="89"/>
      <c r="AT55" s="89"/>
      <c r="AU55" s="89"/>
      <c r="AV55" s="89"/>
      <c r="AW55" s="89"/>
      <c r="AX55" s="89"/>
      <c r="AY55" s="87"/>
      <c r="AZ55" s="87"/>
      <c r="BA55" s="87"/>
      <c r="BB55" s="87"/>
      <c r="BC55" s="87"/>
      <c r="BD55" s="87"/>
      <c r="BE55" s="87"/>
      <c r="BF55" s="87"/>
      <c r="BG55" s="87"/>
      <c r="BH55" s="87"/>
      <c r="BI55" s="87"/>
      <c r="BJ55" s="87"/>
      <c r="BK55" s="87"/>
      <c r="BL55" s="87"/>
      <c r="BM55" s="87"/>
      <c r="BN55" s="87"/>
      <c r="BO55" s="87"/>
      <c r="BP55" s="87"/>
      <c r="BQ55" s="87"/>
      <c r="BR55" s="87"/>
      <c r="BS55" s="87"/>
      <c r="BT55" s="87"/>
      <c r="BU55" s="87"/>
      <c r="BV55" s="87"/>
      <c r="BW55" s="87"/>
      <c r="BX55" s="87"/>
      <c r="BY55" s="87"/>
      <c r="BZ55" s="87"/>
      <c r="CA55" s="87"/>
      <c r="CB55" s="87"/>
      <c r="CC55" s="87"/>
      <c r="CD55" s="87"/>
      <c r="CE55" s="87"/>
      <c r="CF55" s="87"/>
      <c r="CG55" s="87"/>
      <c r="CH55" s="87"/>
      <c r="CI55" s="87"/>
      <c r="CJ55" s="87"/>
      <c r="CK55" s="87"/>
      <c r="CL55" s="87"/>
      <c r="CM55" s="87"/>
      <c r="CN55" s="87"/>
      <c r="CO55" s="87"/>
      <c r="CP55" s="87"/>
      <c r="CQ55" s="87"/>
      <c r="CR55" s="87"/>
      <c r="CS55" s="87"/>
      <c r="CT55" s="87"/>
      <c r="CU55" s="87"/>
      <c r="CV55" s="87"/>
      <c r="CW55" s="87"/>
      <c r="CX55" s="87"/>
    </row>
    <row r="56" spans="1:102" x14ac:dyDescent="0.3">
      <c r="A56" s="28">
        <v>4</v>
      </c>
      <c r="B56" s="20"/>
      <c r="C56" s="62">
        <f>IF(A56&lt;='Eingabeblatt 1'!$D$18,C55+1,"")</f>
        <v>2022</v>
      </c>
      <c r="D56" s="63">
        <f>IF(A56&lt;='Eingabeblatt 1'!$D$18,D55+1,"")</f>
        <v>4</v>
      </c>
      <c r="E56" s="64">
        <f>IF(A56&lt;='Eingabeblatt 1'!$D$18,IF(D56='Eingabeblatt 1'!$D$65,-'Eingabeblatt 1'!$L$65*(1+'Eingabeblatt 1'!$J$65)^D56,IF(D56='Eingabeblatt 1'!$D$66,-'Eingabeblatt 1'!$L$66*(1+'Eingabeblatt 1'!$J$66)^D56,IF(D56='Eingabeblatt 1'!$D$67,-'Eingabeblatt 1'!$L$67*(1+'Eingabeblatt 1'!$J$67)^D56,0))),"")</f>
        <v>0</v>
      </c>
      <c r="F56" s="64">
        <f t="shared" si="7"/>
        <v>-1345329.1665000001</v>
      </c>
      <c r="G56" s="65">
        <f>IF(A56&lt;='Eingabeblatt 1'!$D$18,IF(D56='Eingabeblatt 1'!$D$72,-('Eingabeblatt 1'!$L$71+'Eingabeblatt 1'!$L$72)*(1+'Eingabeblatt 1'!$J$71)^Ergebnis!D56,-('Eingabeblatt 1'!$L$71)*(1+'Eingabeblatt 1'!$J$71)^Ergebnis!D56),"")</f>
        <v>-454621.50719999999</v>
      </c>
      <c r="H56" s="66">
        <f>IF(A56&lt;='Eingabeblatt 1'!$D$18,H55*(1+'Eingabeblatt 1'!$J$73),"")</f>
        <v>-336744.49429687497</v>
      </c>
      <c r="I56" s="66">
        <f>IF(A56&lt;='Eingabeblatt 1'!$D$18,(-'Eingabeblatt 1'!$L$75*(1+'Eingabeblatt 1'!$J$75)^Ergebnis!D56)-('Eingabeblatt 1'!$L$76*(1+'Eingabeblatt 1'!$J$76)^Ergebnis!D56)-('Eingabeblatt 1'!$L$77*(1+'Eingabeblatt 1'!$J$77)^Ergebnis!D56),"")</f>
        <v>-177509.90125442145</v>
      </c>
      <c r="J56" s="67">
        <f>IF(A55&lt;='Eingabeblatt 1'!$D$18,'Eingabeblatt 1'!$D$81*(1+'Eingabeblatt 1'!$J$81)^Ergebnis!D56)</f>
        <v>5203.0200500000001</v>
      </c>
      <c r="K56" s="68">
        <f>IF(A56&lt;='Eingabeblatt 1'!$D$18,'Eingabeblatt 1'!$L$15*(1+'Eingabeblatt 1'!$D$15)^D56,"")</f>
        <v>140383.02720000001</v>
      </c>
      <c r="L56" s="68">
        <f>IF(D56&lt;='Eingabeblatt 1'!$D$18,(SUMIFS('Eingabeblatt 2'!$K$14:$K$53,'Eingabeblatt 2'!$Q$14:$Q$53,Ergebnis!D56))*(1+'Eingabeblatt 1'!$J$65)^Ergebnis!D56,"")</f>
        <v>0</v>
      </c>
      <c r="M56" s="373">
        <f>IF(A56&lt;='Eingabeblatt 1'!$D$18,SUM(G56:L56)+E56,"")</f>
        <v>-823289.85550129635</v>
      </c>
      <c r="N56" s="83">
        <f>IF(A56&lt;='Eingabeblatt 1'!$D$18,(E56+G56+H56+I56+J56+K56+L56)/(1+'Eingabeblatt 1'!$D$19)^D56,"")</f>
        <v>-703751.61891476542</v>
      </c>
      <c r="O56" s="419">
        <f>IF(A56&lt;='Eingabeblatt 1'!$D$18,O55+N56,"")</f>
        <v>-33363535.994712878</v>
      </c>
      <c r="P56" s="89"/>
      <c r="Q56" s="89"/>
      <c r="R56" s="93">
        <f>(((40-D56)/40*$Q$52))*('Eingabeblatt 1'!$D$20)+$Q$52/40</f>
        <v>113642.98000000001</v>
      </c>
      <c r="S56" s="93"/>
      <c r="T56" s="93">
        <f>(((30-D56)/30*$S$52))*('Eingabeblatt 1'!$D$20)+$S$52/30</f>
        <v>0</v>
      </c>
      <c r="U56" s="93"/>
      <c r="V56" s="93">
        <f>(((20-D56)/20*$U$52))*('Eingabeblatt 1'!$D$20)+$U$52/20</f>
        <v>702497.21850000008</v>
      </c>
      <c r="W56" s="93"/>
      <c r="X56" s="93">
        <f>(((10-D56)/10*$W$52))*('Eingabeblatt 1'!$D$20)+$W$52/10</f>
        <v>529188.96799999999</v>
      </c>
      <c r="Y56" s="97">
        <f t="shared" si="8"/>
        <v>1345329.1665000001</v>
      </c>
      <c r="Z56" s="89"/>
      <c r="AA56" s="89"/>
      <c r="AB56" s="89"/>
      <c r="AC56" s="89"/>
      <c r="AD56" s="90">
        <v>4</v>
      </c>
      <c r="AE56" s="95">
        <f t="shared" si="0"/>
        <v>-33363535.994712878</v>
      </c>
      <c r="AF56" s="95">
        <f t="shared" si="1"/>
        <v>-34144440.35264343</v>
      </c>
      <c r="AG56" s="95">
        <f t="shared" si="5"/>
        <v>-780904.35793055221</v>
      </c>
      <c r="AH56" s="96">
        <f t="shared" si="2"/>
        <v>0</v>
      </c>
      <c r="AI56" s="90"/>
      <c r="AJ56" s="90"/>
      <c r="AK56" s="90">
        <f>IF(AE56&gt;0,IF(SUM(AK52:AK55)=0,AD56,0),0)</f>
        <v>0</v>
      </c>
      <c r="AL56" s="90">
        <f>IF(AF56&gt;0,IF(SUM(AL52:AL55)=0,AD56,0),0)</f>
        <v>0</v>
      </c>
      <c r="AM56" s="89"/>
      <c r="AN56" s="89"/>
      <c r="AO56" s="93">
        <f t="shared" si="3"/>
        <v>-2168619.0220012967</v>
      </c>
      <c r="AP56" s="93">
        <f t="shared" si="4"/>
        <v>-2394089.9717169893</v>
      </c>
      <c r="AQ56" s="93">
        <f t="shared" si="6"/>
        <v>225470.94971569255</v>
      </c>
      <c r="AR56" s="89"/>
      <c r="AS56" s="89"/>
      <c r="AT56" s="89"/>
      <c r="AU56" s="89"/>
      <c r="AV56" s="89"/>
      <c r="AW56" s="89"/>
      <c r="AX56" s="89"/>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row>
    <row r="57" spans="1:102" x14ac:dyDescent="0.3">
      <c r="A57" s="28">
        <v>5</v>
      </c>
      <c r="B57" s="20"/>
      <c r="C57" s="62">
        <f>IF(A57&lt;='Eingabeblatt 1'!$D$18,C56+1,"")</f>
        <v>2023</v>
      </c>
      <c r="D57" s="63">
        <f>IF(A57&lt;='Eingabeblatt 1'!$D$18,D56+1,"")</f>
        <v>5</v>
      </c>
      <c r="E57" s="64">
        <f>IF(A57&lt;='Eingabeblatt 1'!$D$18,IF(D57='Eingabeblatt 1'!$D$65,-'Eingabeblatt 1'!$L$65*(1+'Eingabeblatt 1'!$J$65)^D57,IF(D57='Eingabeblatt 1'!$D$66,-'Eingabeblatt 1'!$L$66*(1+'Eingabeblatt 1'!$J$66)^D57,IF(D57='Eingabeblatt 1'!$D$67,-'Eingabeblatt 1'!$L$67*(1+'Eingabeblatt 1'!$J$67)^D57,0))),"")</f>
        <v>0</v>
      </c>
      <c r="F57" s="64">
        <f t="shared" si="7"/>
        <v>-1323914.0362500001</v>
      </c>
      <c r="G57" s="65">
        <f>IF(A57&lt;='Eingabeblatt 1'!$D$18,IF(D57='Eingabeblatt 1'!$D$72,-('Eingabeblatt 1'!$L$71+'Eingabeblatt 1'!$L$72)*(1+'Eingabeblatt 1'!$J$71)^Ergebnis!D57,-('Eingabeblatt 1'!$L$71)*(1+'Eingabeblatt 1'!$J$71)^Ergebnis!D57),"")</f>
        <v>-463713.93734400003</v>
      </c>
      <c r="H57" s="66">
        <f>IF(A57&lt;='Eingabeblatt 1'!$D$18,H56*(1+'Eingabeblatt 1'!$J$73),"")</f>
        <v>-344321.24541855464</v>
      </c>
      <c r="I57" s="66">
        <f>IF(A57&lt;='Eingabeblatt 1'!$D$18,(-'Eingabeblatt 1'!$L$75*(1+'Eingabeblatt 1'!$J$75)^Ergebnis!D57)-('Eingabeblatt 1'!$L$76*(1+'Eingabeblatt 1'!$J$76)^Ergebnis!D57)-('Eingabeblatt 1'!$L$77*(1+'Eingabeblatt 1'!$J$77)^Ergebnis!D57),"")</f>
        <v>-178414.35016981591</v>
      </c>
      <c r="J57" s="67">
        <f>IF(A56&lt;='Eingabeblatt 1'!$D$18,'Eingabeblatt 1'!$D$81*(1+'Eingabeblatt 1'!$J$81)^Ergebnis!D57)</f>
        <v>5255.0502504999995</v>
      </c>
      <c r="K57" s="68">
        <f>IF(A57&lt;='Eingabeblatt 1'!$D$18,'Eingabeblatt 1'!$L$15*(1+'Eingabeblatt 1'!$D$15)^D57,"")</f>
        <v>145998.34828800004</v>
      </c>
      <c r="L57" s="68">
        <f>IF(D57&lt;='Eingabeblatt 1'!$D$18,(SUMIFS('Eingabeblatt 2'!$K$14:$K$53,'Eingabeblatt 2'!$Q$14:$Q$53,Ergebnis!D57))*(1+'Eingabeblatt 1'!$J$65)^Ergebnis!D57,"")</f>
        <v>0</v>
      </c>
      <c r="M57" s="373">
        <f>IF(A57&lt;='Eingabeblatt 1'!$D$18,SUM(G57:L57)+E57,"")</f>
        <v>-835196.1343938706</v>
      </c>
      <c r="N57" s="83">
        <f>IF(A57&lt;='Eingabeblatt 1'!$D$18,(E57+G57+H57+I57+J57+K57+L57)/(1+'Eingabeblatt 1'!$D$19)^D57,"")</f>
        <v>-686470.34231894859</v>
      </c>
      <c r="O57" s="419">
        <f>IF(A57&lt;='Eingabeblatt 1'!$D$18,O56+N57,"")</f>
        <v>-34050006.337031826</v>
      </c>
      <c r="P57" s="89"/>
      <c r="Q57" s="89"/>
      <c r="R57" s="93">
        <f>(((40-D57)/40*$Q$52))*('Eingabeblatt 1'!$D$20)+$Q$52/40</f>
        <v>112321.55</v>
      </c>
      <c r="S57" s="93"/>
      <c r="T57" s="93">
        <f>(((30-D57)/30*$S$52))*('Eingabeblatt 1'!$D$20)+$S$52/30</f>
        <v>0</v>
      </c>
      <c r="U57" s="93"/>
      <c r="V57" s="93">
        <f>(((20-D57)/20*$U$52))*('Eingabeblatt 1'!$D$20)+$U$52/20</f>
        <v>691853.32125000004</v>
      </c>
      <c r="W57" s="93"/>
      <c r="X57" s="93">
        <f>(((10-D57)/10*$W$52))*('Eingabeblatt 1'!$D$20)+$W$52/10</f>
        <v>519739.16500000004</v>
      </c>
      <c r="Y57" s="97">
        <f t="shared" si="8"/>
        <v>1323914.0362500001</v>
      </c>
      <c r="Z57" s="89"/>
      <c r="AA57" s="89"/>
      <c r="AB57" s="89"/>
      <c r="AC57" s="89"/>
      <c r="AD57" s="90">
        <v>5</v>
      </c>
      <c r="AE57" s="95">
        <f t="shared" si="0"/>
        <v>-34050006.337031826</v>
      </c>
      <c r="AF57" s="95">
        <f t="shared" si="1"/>
        <v>-34971407.680161998</v>
      </c>
      <c r="AG57" s="95">
        <f>IFERROR(AF57-AE57,0)</f>
        <v>-921401.3431301713</v>
      </c>
      <c r="AH57" s="96">
        <f t="shared" si="2"/>
        <v>0</v>
      </c>
      <c r="AI57" s="90"/>
      <c r="AJ57" s="90"/>
      <c r="AK57" s="90">
        <f>IF(AE57&gt;0,IF(SUM(AK52:AK56)=0,AD57,0),0)</f>
        <v>0</v>
      </c>
      <c r="AL57" s="90">
        <f>IF(AF57&gt;0,IF(SUM(AL52:AL56)=0,AD57,0),0)</f>
        <v>0</v>
      </c>
      <c r="AM57" s="89"/>
      <c r="AN57" s="89"/>
      <c r="AO57" s="93">
        <f t="shared" si="3"/>
        <v>-2159110.1706438707</v>
      </c>
      <c r="AP57" s="93">
        <f t="shared" si="4"/>
        <v>-2389099.7992154323</v>
      </c>
      <c r="AQ57" s="93">
        <f t="shared" si="6"/>
        <v>229989.62857156154</v>
      </c>
      <c r="AR57" s="89"/>
      <c r="AS57" s="89"/>
      <c r="AT57" s="89"/>
      <c r="AU57" s="89"/>
      <c r="AV57" s="89"/>
      <c r="AW57" s="89"/>
      <c r="AX57" s="89"/>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row>
    <row r="58" spans="1:102" x14ac:dyDescent="0.3">
      <c r="A58" s="28">
        <v>6</v>
      </c>
      <c r="B58" s="20"/>
      <c r="C58" s="62">
        <f>IF(A58&lt;='Eingabeblatt 1'!$D$18,C57+1,"")</f>
        <v>2024</v>
      </c>
      <c r="D58" s="63">
        <f>IF(A58&lt;='Eingabeblatt 1'!$D$18,D57+1,"")</f>
        <v>6</v>
      </c>
      <c r="E58" s="64">
        <f>IF(A58&lt;='Eingabeblatt 1'!$D$18,IF(D58='Eingabeblatt 1'!$D$65,-'Eingabeblatt 1'!$L$65*(1+'Eingabeblatt 1'!$J$65)^D58,IF(D58='Eingabeblatt 1'!$D$66,-'Eingabeblatt 1'!$L$66*(1+'Eingabeblatt 1'!$J$66)^D58,IF(D58='Eingabeblatt 1'!$D$67,-'Eingabeblatt 1'!$L$67*(1+'Eingabeblatt 1'!$J$67)^D58,0))),"")</f>
        <v>0</v>
      </c>
      <c r="F58" s="64">
        <f t="shared" si="7"/>
        <v>-1302498.906</v>
      </c>
      <c r="G58" s="65">
        <f>IF(A58&lt;='Eingabeblatt 1'!$D$18,IF(D58='Eingabeblatt 1'!$D$72,-('Eingabeblatt 1'!$L$71+'Eingabeblatt 1'!$L$72)*(1+'Eingabeblatt 1'!$J$71)^Ergebnis!D58,-('Eingabeblatt 1'!$L$71)*(1+'Eingabeblatt 1'!$J$71)^Ergebnis!D58),"")</f>
        <v>-472988.21609088004</v>
      </c>
      <c r="H58" s="66">
        <f>IF(A58&lt;='Eingabeblatt 1'!$D$18,H57*(1+'Eingabeblatt 1'!$J$73),"")</f>
        <v>-352068.47344047209</v>
      </c>
      <c r="I58" s="66">
        <f>IF(A58&lt;='Eingabeblatt 1'!$D$18,(-'Eingabeblatt 1'!$L$75*(1+'Eingabeblatt 1'!$J$75)^Ergebnis!D58)-('Eingabeblatt 1'!$L$76*(1+'Eingabeblatt 1'!$J$76)^Ergebnis!D58)-('Eingabeblatt 1'!$L$77*(1+'Eingabeblatt 1'!$J$77)^Ergebnis!D58),"")</f>
        <v>-179323.49032387862</v>
      </c>
      <c r="J58" s="67">
        <f>IF(A57&lt;='Eingabeblatt 1'!$D$18,'Eingabeblatt 1'!$D$81*(1+'Eingabeblatt 1'!$J$81)^Ergebnis!D58)</f>
        <v>5307.600753005001</v>
      </c>
      <c r="K58" s="68">
        <f>IF(A58&lt;='Eingabeblatt 1'!$D$18,'Eingabeblatt 1'!$L$15*(1+'Eingabeblatt 1'!$D$15)^D58,"")</f>
        <v>151838.28221952004</v>
      </c>
      <c r="L58" s="68">
        <f>IF(D58&lt;='Eingabeblatt 1'!$D$18,(SUMIFS('Eingabeblatt 2'!$K$14:$K$53,'Eingabeblatt 2'!$Q$14:$Q$53,Ergebnis!D58))*(1+'Eingabeblatt 1'!$J$65)^Ergebnis!D58,"")</f>
        <v>0</v>
      </c>
      <c r="M58" s="373">
        <f>IF(A58&lt;='Eingabeblatt 1'!$D$18,SUM(G58:L58)+E58,"")</f>
        <v>-847234.29688270565</v>
      </c>
      <c r="N58" s="83">
        <f>IF(A58&lt;='Eingabeblatt 1'!$D$18,(E58+G58+H58+I58+J58+K58+L58)/(1+'Eingabeblatt 1'!$D$19)^D58,"")</f>
        <v>-669581.57152316894</v>
      </c>
      <c r="O58" s="419">
        <f>IF(A58&lt;='Eingabeblatt 1'!$D$18,O57+N58,"")</f>
        <v>-34719587.908554994</v>
      </c>
      <c r="P58" s="89"/>
      <c r="Q58" s="89"/>
      <c r="R58" s="93">
        <f>(((40-D58)/40*$Q$52))*('Eingabeblatt 1'!$D$20)+$Q$52/40</f>
        <v>111000.12</v>
      </c>
      <c r="S58" s="93"/>
      <c r="T58" s="93">
        <f>(((30-D58)/30*$S$52))*('Eingabeblatt 1'!$D$20)+$S$52/30</f>
        <v>0</v>
      </c>
      <c r="U58" s="93"/>
      <c r="V58" s="93">
        <f>(((20-D58)/20*$U$52))*('Eingabeblatt 1'!$D$20)+$U$52/20</f>
        <v>681209.424</v>
      </c>
      <c r="W58" s="93"/>
      <c r="X58" s="93">
        <f>(((10-D58)/10*$W$52))*('Eingabeblatt 1'!$D$20)+$W$52/10</f>
        <v>510289.36200000002</v>
      </c>
      <c r="Y58" s="97">
        <f t="shared" si="8"/>
        <v>1302498.906</v>
      </c>
      <c r="Z58" s="89"/>
      <c r="AA58" s="89"/>
      <c r="AB58" s="89"/>
      <c r="AC58" s="89"/>
      <c r="AD58" s="90">
        <v>6</v>
      </c>
      <c r="AE58" s="95">
        <f t="shared" si="0"/>
        <v>-34719587.908554994</v>
      </c>
      <c r="AF58" s="95">
        <f t="shared" si="1"/>
        <v>-35780821.708615996</v>
      </c>
      <c r="AG58" s="95">
        <f t="shared" si="5"/>
        <v>-1061233.8000610024</v>
      </c>
      <c r="AH58" s="96">
        <f t="shared" si="2"/>
        <v>0</v>
      </c>
      <c r="AI58" s="90"/>
      <c r="AJ58" s="90"/>
      <c r="AK58" s="90">
        <f>IF(AE58&gt;0,IF(SUM(AK52:AK57)=0,AD58,0),0)</f>
        <v>0</v>
      </c>
      <c r="AL58" s="90">
        <f>IF(AF58&gt;0,IF(SUM(AL52:AL57)=0,AD58,0),0)</f>
        <v>0</v>
      </c>
      <c r="AM58" s="89"/>
      <c r="AN58" s="89"/>
      <c r="AO58" s="93">
        <f t="shared" si="3"/>
        <v>-2149733.2028827062</v>
      </c>
      <c r="AP58" s="93">
        <f t="shared" si="4"/>
        <v>-2384464.0840403074</v>
      </c>
      <c r="AQ58" s="93">
        <f t="shared" si="6"/>
        <v>234730.88115760125</v>
      </c>
      <c r="AR58" s="89"/>
      <c r="AS58" s="89"/>
      <c r="AT58" s="89"/>
      <c r="AU58" s="89"/>
      <c r="AV58" s="89"/>
      <c r="AW58" s="89"/>
      <c r="AX58" s="89"/>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row>
    <row r="59" spans="1:102" x14ac:dyDescent="0.3">
      <c r="A59" s="28">
        <v>7</v>
      </c>
      <c r="B59" s="20"/>
      <c r="C59" s="62">
        <f>IF(A59&lt;='Eingabeblatt 1'!$D$18,C58+1,"")</f>
        <v>2025</v>
      </c>
      <c r="D59" s="63">
        <f>IF(A59&lt;='Eingabeblatt 1'!$D$18,D58+1,"")</f>
        <v>7</v>
      </c>
      <c r="E59" s="64">
        <f>IF(A59&lt;='Eingabeblatt 1'!$D$18,IF(D59='Eingabeblatt 1'!$D$65,-'Eingabeblatt 1'!$L$65*(1+'Eingabeblatt 1'!$J$65)^D59,IF(D59='Eingabeblatt 1'!$D$66,-'Eingabeblatt 1'!$L$66*(1+'Eingabeblatt 1'!$J$66)^D59,IF(D59='Eingabeblatt 1'!$D$67,-'Eingabeblatt 1'!$L$67*(1+'Eingabeblatt 1'!$J$67)^D59,0))),"")</f>
        <v>0</v>
      </c>
      <c r="F59" s="64">
        <f t="shared" si="7"/>
        <v>-1281083.77575</v>
      </c>
      <c r="G59" s="65">
        <f>IF(A59&lt;='Eingabeblatt 1'!$D$18,IF(D59='Eingabeblatt 1'!$D$72,-('Eingabeblatt 1'!$L$71+'Eingabeblatt 1'!$L$72)*(1+'Eingabeblatt 1'!$J$71)^Ergebnis!D59,-('Eingabeblatt 1'!$L$71)*(1+'Eingabeblatt 1'!$J$71)^Ergebnis!D59),"")</f>
        <v>-482447.98041269754</v>
      </c>
      <c r="H59" s="66">
        <f>IF(A59&lt;='Eingabeblatt 1'!$D$18,H58*(1+'Eingabeblatt 1'!$J$73),"")</f>
        <v>-359990.01409288269</v>
      </c>
      <c r="I59" s="66">
        <f>IF(A59&lt;='Eingabeblatt 1'!$D$18,(-'Eingabeblatt 1'!$L$75*(1+'Eingabeblatt 1'!$J$75)^Ergebnis!D59)-('Eingabeblatt 1'!$L$76*(1+'Eingabeblatt 1'!$J$76)^Ergebnis!D59)-('Eingabeblatt 1'!$L$77*(1+'Eingabeblatt 1'!$J$77)^Ergebnis!D59),"")</f>
        <v>-180237.34686274373</v>
      </c>
      <c r="J59" s="67">
        <f>IF(A58&lt;='Eingabeblatt 1'!$D$18,'Eingabeblatt 1'!$D$81*(1+'Eingabeblatt 1'!$J$81)^Ergebnis!D59)</f>
        <v>5360.6767605350487</v>
      </c>
      <c r="K59" s="68">
        <f>IF(A59&lt;='Eingabeblatt 1'!$D$18,'Eingabeblatt 1'!$L$15*(1+'Eingabeblatt 1'!$D$15)^D59,"")</f>
        <v>157911.81350830084</v>
      </c>
      <c r="L59" s="68">
        <f>IF(D59&lt;='Eingabeblatt 1'!$D$18,(SUMIFS('Eingabeblatt 2'!$K$14:$K$53,'Eingabeblatt 2'!$Q$14:$Q$53,Ergebnis!D59))*(1+'Eingabeblatt 1'!$J$65)^Ergebnis!D59,"")</f>
        <v>0</v>
      </c>
      <c r="M59" s="373">
        <f>IF(A59&lt;='Eingabeblatt 1'!$D$18,SUM(G59:L59)+E59,"")</f>
        <v>-859402.85109948809</v>
      </c>
      <c r="N59" s="83">
        <f>IF(A59&lt;='Eingabeblatt 1'!$D$18,(E59+G59+H59+I59+J59+K59+L59)/(1+'Eingabeblatt 1'!$D$19)^D59,"")</f>
        <v>-653075.53526714141</v>
      </c>
      <c r="O59" s="419">
        <f>IF(A59&lt;='Eingabeblatt 1'!$D$18,O58+N59,"")</f>
        <v>-35372663.443822138</v>
      </c>
      <c r="P59" s="89"/>
      <c r="Q59" s="89"/>
      <c r="R59" s="93">
        <f>(((40-D59)/40*$Q$52))*('Eingabeblatt 1'!$D$20)+$Q$52/40</f>
        <v>109678.69</v>
      </c>
      <c r="S59" s="93"/>
      <c r="T59" s="93">
        <f>(((30-D59)/30*$S$52))*('Eingabeblatt 1'!$D$20)+$S$52/30</f>
        <v>0</v>
      </c>
      <c r="U59" s="93"/>
      <c r="V59" s="93">
        <f>(((20-D59)/20*$U$52))*('Eingabeblatt 1'!$D$20)+$U$52/20</f>
        <v>670565.52675000008</v>
      </c>
      <c r="W59" s="93"/>
      <c r="X59" s="93">
        <f>(((10-D59)/10*$W$52))*('Eingabeblatt 1'!$D$20)+$W$52/10</f>
        <v>500839.55900000001</v>
      </c>
      <c r="Y59" s="97">
        <f t="shared" si="8"/>
        <v>1281083.77575</v>
      </c>
      <c r="Z59" s="89"/>
      <c r="AA59" s="89"/>
      <c r="AB59" s="89"/>
      <c r="AC59" s="89"/>
      <c r="AD59" s="90">
        <v>7</v>
      </c>
      <c r="AE59" s="95">
        <f t="shared" si="0"/>
        <v>-35372663.443822138</v>
      </c>
      <c r="AF59" s="95">
        <f t="shared" si="1"/>
        <v>-36573084.357494935</v>
      </c>
      <c r="AG59" s="95">
        <f t="shared" si="5"/>
        <v>-1200420.9136727974</v>
      </c>
      <c r="AH59" s="96">
        <f t="shared" si="2"/>
        <v>0</v>
      </c>
      <c r="AI59" s="90"/>
      <c r="AJ59" s="90"/>
      <c r="AK59" s="90">
        <f>IF(AE59&gt;0,IF(SUM(AK52:AK58)=0,AD59,0),0)</f>
        <v>0</v>
      </c>
      <c r="AL59" s="90">
        <f>IF(AF59&gt;0,IF(SUM(AL52:AL58)=0,AD59,0),0)</f>
        <v>0</v>
      </c>
      <c r="AM59" s="89"/>
      <c r="AN59" s="89"/>
      <c r="AO59" s="93">
        <f t="shared" si="3"/>
        <v>-2140486.6268494874</v>
      </c>
      <c r="AP59" s="93">
        <f t="shared" si="4"/>
        <v>-2380190.2371613584</v>
      </c>
      <c r="AQ59" s="93">
        <f t="shared" si="6"/>
        <v>239703.61031187093</v>
      </c>
      <c r="AR59" s="89"/>
      <c r="AS59" s="89"/>
      <c r="AT59" s="89"/>
      <c r="AU59" s="89"/>
      <c r="AV59" s="89"/>
      <c r="AW59" s="89"/>
      <c r="AX59" s="89"/>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CT59" s="87"/>
      <c r="CU59" s="87"/>
      <c r="CV59" s="87"/>
      <c r="CW59" s="87"/>
      <c r="CX59" s="87"/>
    </row>
    <row r="60" spans="1:102" x14ac:dyDescent="0.3">
      <c r="A60" s="28">
        <v>8</v>
      </c>
      <c r="B60" s="20"/>
      <c r="C60" s="62">
        <f>IF(A60&lt;='Eingabeblatt 1'!$D$18,C59+1,"")</f>
        <v>2026</v>
      </c>
      <c r="D60" s="63">
        <f>IF(A60&lt;='Eingabeblatt 1'!$D$18,D59+1,"")</f>
        <v>8</v>
      </c>
      <c r="E60" s="64">
        <f>IF(A60&lt;='Eingabeblatt 1'!$D$18,IF(D60='Eingabeblatt 1'!$D$65,-'Eingabeblatt 1'!$L$65*(1+'Eingabeblatt 1'!$J$65)^D60,IF(D60='Eingabeblatt 1'!$D$66,-'Eingabeblatt 1'!$L$66*(1+'Eingabeblatt 1'!$J$66)^D60,IF(D60='Eingabeblatt 1'!$D$67,-'Eingabeblatt 1'!$L$67*(1+'Eingabeblatt 1'!$J$67)^D60,0))),"")</f>
        <v>0</v>
      </c>
      <c r="F60" s="64">
        <f t="shared" si="7"/>
        <v>-1259668.6455000001</v>
      </c>
      <c r="G60" s="65">
        <f>IF(A60&lt;='Eingabeblatt 1'!$D$18,IF(D60='Eingabeblatt 1'!$D$72,-('Eingabeblatt 1'!$L$71+'Eingabeblatt 1'!$L$72)*(1+'Eingabeblatt 1'!$J$71)^Ergebnis!D60,-('Eingabeblatt 1'!$L$71)*(1+'Eingabeblatt 1'!$J$71)^Ergebnis!D60),"")</f>
        <v>-492096.9400209515</v>
      </c>
      <c r="H60" s="66">
        <f>IF(A60&lt;='Eingabeblatt 1'!$D$18,H59*(1+'Eingabeblatt 1'!$J$73),"")</f>
        <v>-368089.78940997255</v>
      </c>
      <c r="I60" s="66">
        <f>IF(A60&lt;='Eingabeblatt 1'!$D$18,(-'Eingabeblatt 1'!$L$75*(1+'Eingabeblatt 1'!$J$75)^Ergebnis!D60)-('Eingabeblatt 1'!$L$76*(1+'Eingabeblatt 1'!$J$76)^Ergebnis!D60)-('Eingabeblatt 1'!$L$77*(1+'Eingabeblatt 1'!$J$77)^Ergebnis!D60),"")</f>
        <v>-181155.94507517567</v>
      </c>
      <c r="J60" s="67">
        <f>IF(A59&lt;='Eingabeblatt 1'!$D$18,'Eingabeblatt 1'!$D$81*(1+'Eingabeblatt 1'!$J$81)^Ergebnis!D60)</f>
        <v>5414.2835281404014</v>
      </c>
      <c r="K60" s="68">
        <f>IF(A60&lt;='Eingabeblatt 1'!$D$18,'Eingabeblatt 1'!$L$15*(1+'Eingabeblatt 1'!$D$15)^D60,"")</f>
        <v>164228.2860486329</v>
      </c>
      <c r="L60" s="68">
        <f>IF(D60&lt;='Eingabeblatt 1'!$D$18,(SUMIFS('Eingabeblatt 2'!$K$14:$K$53,'Eingabeblatt 2'!$Q$14:$Q$53,Ergebnis!D60))*(1+'Eingabeblatt 1'!$J$65)^Ergebnis!D60,"")</f>
        <v>0</v>
      </c>
      <c r="M60" s="373">
        <f>IF(A60&lt;='Eingabeblatt 1'!$D$18,SUM(G60:L60)+E60,"")</f>
        <v>-871700.10492932633</v>
      </c>
      <c r="N60" s="83">
        <f>IF(A60&lt;='Eingabeblatt 1'!$D$18,(E60+G60+H60+I60+J60+K60+L60)/(1+'Eingabeblatt 1'!$D$19)^D60,"")</f>
        <v>-636942.72837106022</v>
      </c>
      <c r="O60" s="419">
        <f>IF(A60&lt;='Eingabeblatt 1'!$D$18,O59+N60,"")</f>
        <v>-36009606.172193199</v>
      </c>
      <c r="P60" s="89"/>
      <c r="Q60" s="89"/>
      <c r="R60" s="93">
        <f>(((40-D60)/40*$Q$52))*('Eingabeblatt 1'!$D$20)+$Q$52/40</f>
        <v>108357.26000000001</v>
      </c>
      <c r="S60" s="93"/>
      <c r="T60" s="93">
        <f>(((30-D60)/30*$S$52))*('Eingabeblatt 1'!$D$20)+$S$52/30</f>
        <v>0</v>
      </c>
      <c r="U60" s="93"/>
      <c r="V60" s="93">
        <f>(((20-D60)/20*$U$52))*('Eingabeblatt 1'!$D$20)+$U$52/20</f>
        <v>659921.62950000004</v>
      </c>
      <c r="W60" s="93"/>
      <c r="X60" s="93">
        <f>(((10-D60)/10*$W$52))*('Eingabeblatt 1'!$D$20)+$W$52/10</f>
        <v>491389.75600000005</v>
      </c>
      <c r="Y60" s="97">
        <f t="shared" si="8"/>
        <v>1259668.6455000001</v>
      </c>
      <c r="Z60" s="89"/>
      <c r="AA60" s="89"/>
      <c r="AB60" s="89"/>
      <c r="AC60" s="89"/>
      <c r="AD60" s="90">
        <v>8</v>
      </c>
      <c r="AE60" s="95">
        <f t="shared" si="0"/>
        <v>-36009606.172193199</v>
      </c>
      <c r="AF60" s="95">
        <f t="shared" si="1"/>
        <v>-37348587.54956416</v>
      </c>
      <c r="AG60" s="95">
        <f t="shared" si="5"/>
        <v>-1338981.377370961</v>
      </c>
      <c r="AH60" s="96">
        <f t="shared" si="2"/>
        <v>0</v>
      </c>
      <c r="AI60" s="90"/>
      <c r="AJ60" s="90"/>
      <c r="AK60" s="90">
        <f>IF(AE60&gt;0,IF(SUM(AK52:AK59)=0,AD60,0),0)</f>
        <v>0</v>
      </c>
      <c r="AL60" s="90">
        <f>IF(AF60&gt;0,IF(SUM(AL52:AL59)=0,AD60,0),0)</f>
        <v>0</v>
      </c>
      <c r="AM60" s="89"/>
      <c r="AN60" s="89"/>
      <c r="AO60" s="93">
        <f t="shared" si="3"/>
        <v>-2131368.7504293267</v>
      </c>
      <c r="AP60" s="93">
        <f t="shared" si="4"/>
        <v>-2376285.8271564394</v>
      </c>
      <c r="AQ60" s="93">
        <f t="shared" si="6"/>
        <v>244917.07672711276</v>
      </c>
      <c r="AR60" s="89"/>
      <c r="AS60" s="89"/>
      <c r="AT60" s="89"/>
      <c r="AU60" s="89"/>
      <c r="AV60" s="89"/>
      <c r="AW60" s="89"/>
      <c r="AX60" s="89"/>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row>
    <row r="61" spans="1:102" x14ac:dyDescent="0.3">
      <c r="A61" s="28">
        <v>9</v>
      </c>
      <c r="B61" s="20"/>
      <c r="C61" s="62">
        <f>IF(A61&lt;='Eingabeblatt 1'!$D$18,C60+1,"")</f>
        <v>2027</v>
      </c>
      <c r="D61" s="63">
        <f>IF(A61&lt;='Eingabeblatt 1'!$D$18,D60+1,"")</f>
        <v>9</v>
      </c>
      <c r="E61" s="64">
        <f>IF(A61&lt;='Eingabeblatt 1'!$D$18,IF(D61='Eingabeblatt 1'!$D$65,-'Eingabeblatt 1'!$L$65*(1+'Eingabeblatt 1'!$J$65)^D61,IF(D61='Eingabeblatt 1'!$D$66,-'Eingabeblatt 1'!$L$66*(1+'Eingabeblatt 1'!$J$66)^D61,IF(D61='Eingabeblatt 1'!$D$67,-'Eingabeblatt 1'!$L$67*(1+'Eingabeblatt 1'!$J$67)^D61,0))),"")</f>
        <v>0</v>
      </c>
      <c r="F61" s="64">
        <f t="shared" si="7"/>
        <v>-1238253.5152500002</v>
      </c>
      <c r="G61" s="65">
        <f>IF(A61&lt;='Eingabeblatt 1'!$D$18,IF(D61='Eingabeblatt 1'!$D$72,-('Eingabeblatt 1'!$L$71+'Eingabeblatt 1'!$L$72)*(1+'Eingabeblatt 1'!$J$71)^Ergebnis!D61,-('Eingabeblatt 1'!$L$71)*(1+'Eingabeblatt 1'!$J$71)^Ergebnis!D61),"")</f>
        <v>-501938.87882137054</v>
      </c>
      <c r="H61" s="66">
        <f>IF(A61&lt;='Eingabeblatt 1'!$D$18,H60*(1+'Eingabeblatt 1'!$J$73),"")</f>
        <v>-376371.80967169692</v>
      </c>
      <c r="I61" s="66">
        <f>IF(A61&lt;='Eingabeblatt 1'!$D$18,(-'Eingabeblatt 1'!$L$75*(1+'Eingabeblatt 1'!$J$75)^Ergebnis!D61)-('Eingabeblatt 1'!$L$76*(1+'Eingabeblatt 1'!$J$76)^Ergebnis!D61)-('Eingabeblatt 1'!$L$77*(1+'Eingabeblatt 1'!$J$77)^Ergebnis!D61),"")</f>
        <v>-182079.31039345093</v>
      </c>
      <c r="J61" s="67">
        <f>IF(A60&lt;='Eingabeblatt 1'!$D$18,'Eingabeblatt 1'!$D$81*(1+'Eingabeblatt 1'!$J$81)^Ergebnis!D61)</f>
        <v>5468.4263634218059</v>
      </c>
      <c r="K61" s="68">
        <f>IF(A61&lt;='Eingabeblatt 1'!$D$18,'Eingabeblatt 1'!$L$15*(1+'Eingabeblatt 1'!$D$15)^D61,"")</f>
        <v>170797.41749057823</v>
      </c>
      <c r="L61" s="68">
        <f>IF(D61&lt;='Eingabeblatt 1'!$D$18,(SUMIFS('Eingabeblatt 2'!$K$14:$K$53,'Eingabeblatt 2'!$Q$14:$Q$53,Ergebnis!D61))*(1+'Eingabeblatt 1'!$J$65)^Ergebnis!D61,"")</f>
        <v>0</v>
      </c>
      <c r="M61" s="373">
        <f>IF(A61&lt;='Eingabeblatt 1'!$D$18,SUM(G61:L61)+E61,"")</f>
        <v>-884124.15503251832</v>
      </c>
      <c r="N61" s="83">
        <f>IF(A61&lt;='Eingabeblatt 1'!$D$18,(E61+G61+H61+I61+J61+K61+L61)/(1+'Eingabeblatt 1'!$D$19)^D61,"")</f>
        <v>-621173.90393068886</v>
      </c>
      <c r="O61" s="419">
        <f>IF(A61&lt;='Eingabeblatt 1'!$D$18,O60+N61,"")</f>
        <v>-36630780.076123886</v>
      </c>
      <c r="P61" s="89"/>
      <c r="Q61" s="89"/>
      <c r="R61" s="93">
        <f>(((40-D61)/40*$Q$52))*('Eingabeblatt 1'!$D$20)+$Q$52/40</f>
        <v>107035.83</v>
      </c>
      <c r="S61" s="93"/>
      <c r="T61" s="93">
        <f>(((30-D61)/30*$S$52))*('Eingabeblatt 1'!$D$20)+$S$52/30</f>
        <v>0</v>
      </c>
      <c r="U61" s="93"/>
      <c r="V61" s="93">
        <f>(((20-D61)/20*$U$52))*('Eingabeblatt 1'!$D$20)+$U$52/20</f>
        <v>649277.73225000012</v>
      </c>
      <c r="W61" s="93"/>
      <c r="X61" s="93">
        <f>(((10-D61)/10*$W$52))*('Eingabeblatt 1'!$D$20)+$W$52/10</f>
        <v>481939.95300000004</v>
      </c>
      <c r="Y61" s="97">
        <f t="shared" si="8"/>
        <v>1238253.5152500002</v>
      </c>
      <c r="Z61" s="89"/>
      <c r="AA61" s="89"/>
      <c r="AB61" s="89"/>
      <c r="AC61" s="89"/>
      <c r="AD61" s="90">
        <v>9</v>
      </c>
      <c r="AE61" s="95">
        <f t="shared" si="0"/>
        <v>-36630780.076123886</v>
      </c>
      <c r="AF61" s="95">
        <f t="shared" si="1"/>
        <v>-38107713.479780249</v>
      </c>
      <c r="AG61" s="95">
        <f t="shared" si="5"/>
        <v>-1476933.4036563635</v>
      </c>
      <c r="AH61" s="96">
        <f t="shared" si="2"/>
        <v>0</v>
      </c>
      <c r="AI61" s="90"/>
      <c r="AJ61" s="90"/>
      <c r="AK61" s="90">
        <f>IF(AE61&gt;0,IF(SUM(AK52:AK60)=0,AD61,0),0)</f>
        <v>0</v>
      </c>
      <c r="AL61" s="90">
        <f>IF(AF61&gt;0,IF(SUM(AL52:AL60)=0,AD61,0),0)</f>
        <v>0</v>
      </c>
      <c r="AM61" s="89"/>
      <c r="AN61" s="89"/>
      <c r="AO61" s="93">
        <f t="shared" si="3"/>
        <v>-2122377.6702825185</v>
      </c>
      <c r="AP61" s="93">
        <f t="shared" si="4"/>
        <v>-2372758.5835920102</v>
      </c>
      <c r="AQ61" s="93">
        <f t="shared" si="6"/>
        <v>250380.91330949171</v>
      </c>
      <c r="AR61" s="89"/>
      <c r="AS61" s="89"/>
      <c r="AT61" s="89"/>
      <c r="AU61" s="89"/>
      <c r="AV61" s="89"/>
      <c r="AW61" s="89"/>
      <c r="AX61" s="89"/>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row>
    <row r="62" spans="1:102" x14ac:dyDescent="0.3">
      <c r="A62" s="28">
        <v>10</v>
      </c>
      <c r="B62" s="20"/>
      <c r="C62" s="62">
        <f>IF(A62&lt;='Eingabeblatt 1'!$D$18,C61+1,"")</f>
        <v>2028</v>
      </c>
      <c r="D62" s="63">
        <f>IF(A62&lt;='Eingabeblatt 1'!$D$18,D61+1,"")</f>
        <v>10</v>
      </c>
      <c r="E62" s="64">
        <f>IF(A62&lt;='Eingabeblatt 1'!$D$18,IF(D62='Eingabeblatt 1'!$D$65,-'Eingabeblatt 1'!$L$65*(1+'Eingabeblatt 1'!$J$65)^D62,IF(D62='Eingabeblatt 1'!$D$66,-'Eingabeblatt 1'!$L$66*(1+'Eingabeblatt 1'!$J$66)^D62,IF(D62='Eingabeblatt 1'!$D$67,-'Eingabeblatt 1'!$L$67*(1+'Eingabeblatt 1'!$J$67)^D62,0))),"")</f>
        <v>-9732620.3466443047</v>
      </c>
      <c r="F62" s="64">
        <f t="shared" si="7"/>
        <v>-1423984.4054959333</v>
      </c>
      <c r="G62" s="65">
        <f>IF(A62&lt;='Eingabeblatt 1'!$D$18,IF(D62='Eingabeblatt 1'!$D$72,-('Eingabeblatt 1'!$L$71+'Eingabeblatt 1'!$L$72)*(1+'Eingabeblatt 1'!$J$71)^Ergebnis!D62,-('Eingabeblatt 1'!$L$71)*(1+'Eingabeblatt 1'!$J$71)^Ergebnis!D62),"")</f>
        <v>-511977.65639779798</v>
      </c>
      <c r="H62" s="66">
        <f>IF(A62&lt;='Eingabeblatt 1'!$D$18,H61*(1+'Eingabeblatt 1'!$J$73),"")</f>
        <v>-384840.17538931005</v>
      </c>
      <c r="I62" s="66">
        <f>IF(A62&lt;='Eingabeblatt 1'!$D$18,(-'Eingabeblatt 1'!$L$75*(1+'Eingabeblatt 1'!$J$75)^Ergebnis!D62)-('Eingabeblatt 1'!$L$76*(1+'Eingabeblatt 1'!$J$76)^Ergebnis!D62)-('Eingabeblatt 1'!$L$77*(1+'Eingabeblatt 1'!$J$77)^Ergebnis!D62),"")</f>
        <v>-183007.46839424653</v>
      </c>
      <c r="J62" s="67">
        <f>IF(A61&lt;='Eingabeblatt 1'!$D$18,'Eingabeblatt 1'!$D$81*(1+'Eingabeblatt 1'!$J$81)^Ergebnis!D62)</f>
        <v>5523.110627056024</v>
      </c>
      <c r="K62" s="68">
        <f>IF(A62&lt;='Eingabeblatt 1'!$D$18,'Eingabeblatt 1'!$L$15*(1+'Eingabeblatt 1'!$D$15)^D62,"")</f>
        <v>177629.31419020134</v>
      </c>
      <c r="L62" s="68">
        <f>IF(D62&lt;='Eingabeblatt 1'!$D$18,(SUMIFS('Eingabeblatt 2'!$Q$14:$Q$53,'Eingabeblatt 2'!$E$14:$E$53,Ergebnis!D62))*(1+'Eingabeblatt 1'!$J$65)^Ergebnis!D62,"")</f>
        <v>249934.58879746933</v>
      </c>
      <c r="M62" s="373">
        <f>IF(A62&lt;='Eingabeblatt 1'!$D$18,SUM(G62:L62)+E62,"")</f>
        <v>-10379358.633210933</v>
      </c>
      <c r="N62" s="83">
        <f>IF(A62&lt;='Eingabeblatt 1'!$D$18,(E62+G62+H62+I62+J62+K62+L62)/(1+'Eingabeblatt 1'!$D$19)^D62,"")</f>
        <v>-7011922.7879900206</v>
      </c>
      <c r="O62" s="419">
        <f>IF(A62&lt;='Eingabeblatt 1'!$D$18,O61+N62,"")</f>
        <v>-43642702.864113905</v>
      </c>
      <c r="P62" s="89"/>
      <c r="Q62" s="89"/>
      <c r="R62" s="93">
        <f>(((40-D62)/40*$Q$52))*('Eingabeblatt 1'!$D$20)+$Q$52/40</f>
        <v>105714.4</v>
      </c>
      <c r="S62" s="93"/>
      <c r="T62" s="93">
        <f>(((30-D62)/30*$S$52))*('Eingabeblatt 1'!$D$20)+$S$52/30</f>
        <v>0</v>
      </c>
      <c r="U62" s="93"/>
      <c r="V62" s="93">
        <f>(((20-D62)/20*$U$52))*('Eingabeblatt 1'!$D$20)+$U$52/20</f>
        <v>638633.83500000008</v>
      </c>
      <c r="W62" s="93">
        <f>(SUMIFS('Eingabeblatt 2'!O14:O36,'Eingabeblatt 2'!E14:E36,10))*(1+'Eingabeblatt 1'!J65)^Ergebnis!D62</f>
        <v>5759628.5635248581</v>
      </c>
      <c r="X62" s="93">
        <f>(((10-D53)/10*$W$62))*('Eingabeblatt 1'!$D$20)+$W$62/10</f>
        <v>679636.17049593327</v>
      </c>
      <c r="Y62" s="97">
        <f t="shared" si="8"/>
        <v>1423984.4054959333</v>
      </c>
      <c r="Z62" s="89"/>
      <c r="AA62" s="89"/>
      <c r="AB62" s="89"/>
      <c r="AC62" s="89"/>
      <c r="AD62" s="90">
        <v>10</v>
      </c>
      <c r="AE62" s="95">
        <f t="shared" si="0"/>
        <v>-43642702.864113905</v>
      </c>
      <c r="AF62" s="95">
        <f t="shared" si="1"/>
        <v>-47069813.733277239</v>
      </c>
      <c r="AG62" s="95">
        <f t="shared" si="5"/>
        <v>-3427110.8691633344</v>
      </c>
      <c r="AH62" s="96">
        <f t="shared" si="2"/>
        <v>0</v>
      </c>
      <c r="AI62" s="90"/>
      <c r="AJ62" s="90"/>
      <c r="AK62" s="90">
        <f>IF(AE62&gt;0,IF(SUM(AK52:AK61)=0,AD62,0),0)</f>
        <v>0</v>
      </c>
      <c r="AL62" s="90">
        <f>IF(AF62&gt;0,IF(SUM(AL52:AL61)=0,AD62,0),0)</f>
        <v>0</v>
      </c>
      <c r="AM62" s="89"/>
      <c r="AN62" s="89"/>
      <c r="AO62" s="93">
        <f t="shared" si="3"/>
        <v>-2070722.6920625607</v>
      </c>
      <c r="AP62" s="93">
        <f t="shared" si="4"/>
        <v>-2347502.2813406796</v>
      </c>
      <c r="AQ62" s="93">
        <f t="shared" si="6"/>
        <v>276779.58927811892</v>
      </c>
      <c r="AR62" s="89"/>
      <c r="AS62" s="89"/>
      <c r="AT62" s="89"/>
      <c r="AU62" s="89"/>
      <c r="AV62" s="89"/>
      <c r="AW62" s="89"/>
      <c r="AX62" s="89"/>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7"/>
      <c r="CH62" s="87"/>
      <c r="CI62" s="87"/>
      <c r="CJ62" s="87"/>
      <c r="CK62" s="87"/>
      <c r="CL62" s="87"/>
      <c r="CM62" s="87"/>
      <c r="CN62" s="87"/>
      <c r="CO62" s="87"/>
      <c r="CP62" s="87"/>
      <c r="CQ62" s="87"/>
      <c r="CR62" s="87"/>
      <c r="CS62" s="87"/>
      <c r="CT62" s="87"/>
      <c r="CU62" s="87"/>
      <c r="CV62" s="87"/>
      <c r="CW62" s="87"/>
      <c r="CX62" s="87"/>
    </row>
    <row r="63" spans="1:102" x14ac:dyDescent="0.3">
      <c r="A63" s="28">
        <v>11</v>
      </c>
      <c r="B63" s="20"/>
      <c r="C63" s="62">
        <f>IF(A63&lt;='Eingabeblatt 1'!$D$18,C62+1,"")</f>
        <v>2029</v>
      </c>
      <c r="D63" s="63">
        <f>IF(A63&lt;='Eingabeblatt 1'!$D$18,D62+1,"")</f>
        <v>11</v>
      </c>
      <c r="E63" s="64">
        <f>IF(A63&lt;='Eingabeblatt 1'!$D$18,IF(D63='Eingabeblatt 1'!$D$65,-'Eingabeblatt 1'!$L$65*(1+'Eingabeblatt 1'!$J$65)^D63,IF(D63='Eingabeblatt 1'!$D$66,-'Eingabeblatt 1'!$L$66*(1+'Eingabeblatt 1'!$J$66)^D63,IF(D63='Eingabeblatt 1'!$D$67,-'Eingabeblatt 1'!$L$67*(1+'Eingabeblatt 1'!$J$67)^D63,0))),"")</f>
        <v>0</v>
      </c>
      <c r="F63" s="64">
        <f t="shared" si="7"/>
        <v>-1400499.8211188836</v>
      </c>
      <c r="G63" s="65">
        <f>IF(A63&lt;='Eingabeblatt 1'!$D$18,IF(D63='Eingabeblatt 1'!$D$72,-('Eingabeblatt 1'!$L$71+'Eingabeblatt 1'!$L$72)*(1+'Eingabeblatt 1'!$J$71)^Ergebnis!D63,-('Eingabeblatt 1'!$L$71)*(1+'Eingabeblatt 1'!$J$71)^Ergebnis!D63),"")</f>
        <v>-522217.20952575386</v>
      </c>
      <c r="H63" s="66">
        <f>IF(A63&lt;='Eingabeblatt 1'!$D$18,H62*(1+'Eingabeblatt 1'!$J$73),"")</f>
        <v>-393499.07933556952</v>
      </c>
      <c r="I63" s="66">
        <f>IF(A63&lt;='Eingabeblatt 1'!$D$18,(-'Eingabeblatt 1'!$L$75*(1+'Eingabeblatt 1'!$J$75)^Ergebnis!D63)-('Eingabeblatt 1'!$L$76*(1+'Eingabeblatt 1'!$J$76)^Ergebnis!D63)-('Eingabeblatt 1'!$L$77*(1+'Eingabeblatt 1'!$J$77)^Ergebnis!D63),"")</f>
        <v>-183940.44479953442</v>
      </c>
      <c r="J63" s="67">
        <f>IF(A62&lt;='Eingabeblatt 1'!$D$18,'Eingabeblatt 1'!$D$81*(1+'Eingabeblatt 1'!$J$81)^Ergebnis!D63)</f>
        <v>5578.3417333265825</v>
      </c>
      <c r="K63" s="68">
        <f>IF(A63&lt;='Eingabeblatt 1'!$D$18,'Eingabeblatt 1'!$L$15*(1+'Eingabeblatt 1'!$D$15)^D63,"")</f>
        <v>184734.48675780938</v>
      </c>
      <c r="L63" s="68">
        <f>IF(D63&lt;='Eingabeblatt 1'!$D$18,(SUMIFS('Eingabeblatt 2'!$Q$14:$Q$53,'Eingabeblatt 2'!$E$14:$E$53,Ergebnis!D63))*(1+'Eingabeblatt 1'!$J$65)^Ergebnis!D63,"")</f>
        <v>0</v>
      </c>
      <c r="M63" s="373">
        <f>IF(A63&lt;='Eingabeblatt 1'!$D$18,SUM(G63:L63)+E63,"")</f>
        <v>-909343.90516972181</v>
      </c>
      <c r="N63" s="83">
        <f>IF(A63&lt;='Eingabeblatt 1'!$D$18,(E63+G63+H63+I63+J63+K63+L63)/(1+'Eingabeblatt 1'!$D$19)^D63,"")</f>
        <v>-590692.46103152784</v>
      </c>
      <c r="O63" s="419">
        <f>IF(A63&lt;='Eingabeblatt 1'!$D$18,O62+N63,"")</f>
        <v>-44233395.325145431</v>
      </c>
      <c r="P63" s="89"/>
      <c r="Q63" s="89"/>
      <c r="R63" s="93">
        <f>(((40-D63)/40*$Q$52))*('Eingabeblatt 1'!$D$20)+$Q$52/40</f>
        <v>104392.97</v>
      </c>
      <c r="S63" s="93"/>
      <c r="T63" s="93">
        <f>(((30-D63)/30*$S$52))*('Eingabeblatt 1'!$D$20)+$S$52/30</f>
        <v>0</v>
      </c>
      <c r="U63" s="93"/>
      <c r="V63" s="93">
        <f>(((20-D63)/20*$U$52))*('Eingabeblatt 1'!$D$20)+$U$52/20</f>
        <v>627989.93775000004</v>
      </c>
      <c r="W63" s="93"/>
      <c r="X63" s="93">
        <f>(((10-D54)/10*$W$62))*('Eingabeblatt 1'!$D$20)+$W$62/10</f>
        <v>668116.91336888354</v>
      </c>
      <c r="Y63" s="97">
        <f t="shared" si="8"/>
        <v>1400499.8211188836</v>
      </c>
      <c r="Z63" s="89"/>
      <c r="AA63" s="89"/>
      <c r="AB63" s="89"/>
      <c r="AC63" s="89"/>
      <c r="AD63" s="90">
        <v>11</v>
      </c>
      <c r="AE63" s="95">
        <f t="shared" si="0"/>
        <v>-44233395.325145431</v>
      </c>
      <c r="AF63" s="95">
        <f t="shared" si="1"/>
        <v>-47797294.111918077</v>
      </c>
      <c r="AG63" s="95">
        <f t="shared" si="5"/>
        <v>-3563898.786772646</v>
      </c>
      <c r="AH63" s="96">
        <f t="shared" si="2"/>
        <v>0</v>
      </c>
      <c r="AI63" s="90"/>
      <c r="AJ63" s="90"/>
      <c r="AK63" s="90">
        <f>IF(AE63&gt;0,IF(SUM(AK52:AK62)=0,AD63,0),0)</f>
        <v>0</v>
      </c>
      <c r="AL63" s="90">
        <f>IF(AF63&gt;0,IF(SUM(AL52:AL62)=0,AD63,0),0)</f>
        <v>0</v>
      </c>
      <c r="AM63" s="89"/>
      <c r="AN63" s="89"/>
      <c r="AO63" s="93">
        <f t="shared" si="3"/>
        <v>-2309843.7262886055</v>
      </c>
      <c r="AP63" s="93">
        <f t="shared" si="4"/>
        <v>-2474312.5797882625</v>
      </c>
      <c r="AQ63" s="93">
        <f t="shared" si="6"/>
        <v>164468.85349965701</v>
      </c>
      <c r="AR63" s="89"/>
      <c r="AS63" s="89"/>
      <c r="AT63" s="89"/>
      <c r="AU63" s="89"/>
      <c r="AV63" s="89"/>
      <c r="AW63" s="89"/>
      <c r="AX63" s="89"/>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row>
    <row r="64" spans="1:102" x14ac:dyDescent="0.3">
      <c r="A64" s="28">
        <v>12</v>
      </c>
      <c r="B64" s="20"/>
      <c r="C64" s="62">
        <f>IF(A64&lt;='Eingabeblatt 1'!$D$18,C63+1,"")</f>
        <v>2030</v>
      </c>
      <c r="D64" s="63">
        <f>IF(A64&lt;='Eingabeblatt 1'!$D$18,D63+1,"")</f>
        <v>12</v>
      </c>
      <c r="E64" s="64">
        <f>IF(A64&lt;='Eingabeblatt 1'!$D$18,IF(D64='Eingabeblatt 1'!$D$65,-'Eingabeblatt 1'!$L$65*(1+'Eingabeblatt 1'!$J$65)^D64,IF(D64='Eingabeblatt 1'!$D$66,-'Eingabeblatt 1'!$L$66*(1+'Eingabeblatt 1'!$J$66)^D64,IF(D64='Eingabeblatt 1'!$D$67,-'Eingabeblatt 1'!$L$67*(1+'Eingabeblatt 1'!$J$67)^D64,0))),"")</f>
        <v>0</v>
      </c>
      <c r="F64" s="64">
        <f t="shared" si="7"/>
        <v>-1377015.2367418339</v>
      </c>
      <c r="G64" s="65">
        <f>IF(A64&lt;='Eingabeblatt 1'!$D$18,IF(D64='Eingabeblatt 1'!$D$72,-('Eingabeblatt 1'!$L$71+'Eingabeblatt 1'!$L$72)*(1+'Eingabeblatt 1'!$J$71)^Ergebnis!D64,-('Eingabeblatt 1'!$L$71)*(1+'Eingabeblatt 1'!$J$71)^Ergebnis!D64),"")</f>
        <v>-532661.55371626897</v>
      </c>
      <c r="H64" s="66">
        <f>IF(A64&lt;='Eingabeblatt 1'!$D$18,H63*(1+'Eingabeblatt 1'!$J$73),"")</f>
        <v>-402352.80862061982</v>
      </c>
      <c r="I64" s="66">
        <f>IF(A64&lt;='Eingabeblatt 1'!$D$18,(-'Eingabeblatt 1'!$L$75*(1+'Eingabeblatt 1'!$J$75)^Ergebnis!D64)-('Eingabeblatt 1'!$L$76*(1+'Eingabeblatt 1'!$J$76)^Ergebnis!D64)-('Eingabeblatt 1'!$L$77*(1+'Eingabeblatt 1'!$J$77)^Ergebnis!D64),"")</f>
        <v>-184878.26547748191</v>
      </c>
      <c r="J64" s="67">
        <f>IF(A63&lt;='Eingabeblatt 1'!$D$18,'Eingabeblatt 1'!$D$81*(1+'Eingabeblatt 1'!$J$81)^Ergebnis!D64)</f>
        <v>5634.1251506598492</v>
      </c>
      <c r="K64" s="68">
        <f>IF(A64&lt;='Eingabeblatt 1'!$D$18,'Eingabeblatt 1'!$L$15*(1+'Eingabeblatt 1'!$D$15)^D64,"")</f>
        <v>192123.8662281218</v>
      </c>
      <c r="L64" s="68">
        <f>IF(D64&lt;='Eingabeblatt 1'!$D$18,(SUMIFS('Eingabeblatt 2'!$Q$14:$Q$53,'Eingabeblatt 2'!$E$14:$E$53,Ergebnis!D64))*(1+'Eingabeblatt 1'!$J$65)^Ergebnis!D64,"")</f>
        <v>0</v>
      </c>
      <c r="M64" s="373">
        <f>IF(A64&lt;='Eingabeblatt 1'!$D$18,SUM(G64:L64)+E64,"")</f>
        <v>-922134.63643558905</v>
      </c>
      <c r="N64" s="83">
        <f>IF(A64&lt;='Eingabeblatt 1'!$D$18,(E64+G64+H64+I64+J64+K64+L64)/(1+'Eingabeblatt 1'!$D$19)^D64,"")</f>
        <v>-575962.57323325495</v>
      </c>
      <c r="O64" s="419">
        <f>IF(A64&lt;='Eingabeblatt 1'!$D$18,O63+N64,"")</f>
        <v>-44809357.898378685</v>
      </c>
      <c r="P64" s="89"/>
      <c r="Q64" s="89"/>
      <c r="R64" s="93">
        <f>(((40-D64)/40*$Q$52))*('Eingabeblatt 1'!$D$20)+$Q$52/40</f>
        <v>103071.54</v>
      </c>
      <c r="S64" s="93"/>
      <c r="T64" s="93">
        <f>(((30-D64)/30*$S$52))*('Eingabeblatt 1'!$D$20)+$S$52/30</f>
        <v>0</v>
      </c>
      <c r="U64" s="93"/>
      <c r="V64" s="93">
        <f>(((20-D64)/20*$U$52))*('Eingabeblatt 1'!$D$20)+$U$52/20</f>
        <v>617346.04050000012</v>
      </c>
      <c r="W64" s="93"/>
      <c r="X64" s="93">
        <f>(((10-D55)/10*$W$62))*('Eingabeblatt 1'!$D$20)+$W$62/10</f>
        <v>656597.65624183381</v>
      </c>
      <c r="Y64" s="97">
        <f t="shared" si="8"/>
        <v>1377015.2367418339</v>
      </c>
      <c r="Z64" s="89"/>
      <c r="AA64" s="89"/>
      <c r="AB64" s="89"/>
      <c r="AC64" s="89"/>
      <c r="AD64" s="90">
        <v>12</v>
      </c>
      <c r="AE64" s="95">
        <f t="shared" si="0"/>
        <v>-44809357.898378685</v>
      </c>
      <c r="AF64" s="95">
        <f t="shared" si="1"/>
        <v>-48509488.021481887</v>
      </c>
      <c r="AG64" s="95">
        <f t="shared" si="5"/>
        <v>-3700130.1231032014</v>
      </c>
      <c r="AH64" s="96">
        <f t="shared" si="2"/>
        <v>0</v>
      </c>
      <c r="AI64" s="90"/>
      <c r="AJ64" s="90"/>
      <c r="AK64" s="90">
        <f>IF(AE64&gt;0,IF(SUM(AK52:AK63)=0,AC64,0),0)</f>
        <v>0</v>
      </c>
      <c r="AL64" s="90">
        <f>IF(AF64&gt;0,IF(SUM(AL52:AL63)=0,AD64,0),0)</f>
        <v>0</v>
      </c>
      <c r="AM64" s="89"/>
      <c r="AN64" s="89"/>
      <c r="AO64" s="93">
        <f t="shared" si="3"/>
        <v>-2299149.8731774222</v>
      </c>
      <c r="AP64" s="93">
        <f t="shared" si="4"/>
        <v>-2471964.8750793384</v>
      </c>
      <c r="AQ64" s="93">
        <f t="shared" si="6"/>
        <v>172815.00190191623</v>
      </c>
      <c r="AR64" s="89"/>
      <c r="AS64" s="89"/>
      <c r="AT64" s="89"/>
      <c r="AU64" s="89"/>
      <c r="AV64" s="89"/>
      <c r="AW64" s="89"/>
      <c r="AX64" s="89"/>
      <c r="AY64" s="87"/>
      <c r="AZ64" s="87"/>
      <c r="BA64" s="87"/>
      <c r="BB64" s="87"/>
      <c r="BC64" s="87"/>
      <c r="BD64" s="87"/>
      <c r="BE64" s="87"/>
      <c r="BF64" s="87"/>
      <c r="BG64" s="87"/>
      <c r="BH64" s="87"/>
      <c r="BI64" s="87"/>
      <c r="BJ64" s="87"/>
      <c r="BK64" s="87"/>
      <c r="BL64" s="87"/>
      <c r="BM64" s="87"/>
      <c r="BN64" s="87"/>
      <c r="BO64" s="87"/>
      <c r="BP64" s="87"/>
      <c r="BQ64" s="87"/>
      <c r="BR64" s="87"/>
      <c r="BS64" s="87"/>
      <c r="BT64" s="87"/>
      <c r="BU64" s="87"/>
      <c r="BV64" s="87"/>
      <c r="BW64" s="87"/>
      <c r="BX64" s="87"/>
      <c r="BY64" s="87"/>
      <c r="BZ64" s="87"/>
      <c r="CA64" s="87"/>
      <c r="CB64" s="87"/>
      <c r="CC64" s="87"/>
      <c r="CD64" s="87"/>
      <c r="CE64" s="87"/>
      <c r="CF64" s="87"/>
      <c r="CG64" s="87"/>
      <c r="CH64" s="87"/>
      <c r="CI64" s="87"/>
      <c r="CJ64" s="87"/>
      <c r="CK64" s="87"/>
      <c r="CL64" s="87"/>
      <c r="CM64" s="87"/>
      <c r="CN64" s="87"/>
      <c r="CO64" s="87"/>
      <c r="CP64" s="87"/>
      <c r="CQ64" s="87"/>
      <c r="CR64" s="87"/>
      <c r="CS64" s="87"/>
      <c r="CT64" s="87"/>
      <c r="CU64" s="87"/>
      <c r="CV64" s="87"/>
      <c r="CW64" s="87"/>
      <c r="CX64" s="87"/>
    </row>
    <row r="65" spans="1:102" x14ac:dyDescent="0.3">
      <c r="A65" s="28">
        <v>13</v>
      </c>
      <c r="B65" s="20"/>
      <c r="C65" s="62">
        <f>IF(A65&lt;='Eingabeblatt 1'!$D$18,C64+1,"")</f>
        <v>2031</v>
      </c>
      <c r="D65" s="63">
        <f>IF(A65&lt;='Eingabeblatt 1'!$D$18,D64+1,"")</f>
        <v>13</v>
      </c>
      <c r="E65" s="64">
        <f>IF(A65&lt;='Eingabeblatt 1'!$D$18,IF(D65='Eingabeblatt 1'!$D$65,-'Eingabeblatt 1'!$L$65*(1+'Eingabeblatt 1'!$J$65)^D65,IF(D65='Eingabeblatt 1'!$D$66,-'Eingabeblatt 1'!$L$66*(1+'Eingabeblatt 1'!$J$66)^D65,IF(D65='Eingabeblatt 1'!$D$67,-'Eingabeblatt 1'!$L$67*(1+'Eingabeblatt 1'!$J$67)^D65,0))),"")</f>
        <v>0</v>
      </c>
      <c r="F65" s="64">
        <f t="shared" si="7"/>
        <v>-1353530.6523647842</v>
      </c>
      <c r="G65" s="65">
        <f>IF(A65&lt;='Eingabeblatt 1'!$D$18,IF(D65='Eingabeblatt 1'!$D$72,-('Eingabeblatt 1'!$L$71+'Eingabeblatt 1'!$L$72)*(1+'Eingabeblatt 1'!$J$71)^Ergebnis!D65,-('Eingabeblatt 1'!$L$71)*(1+'Eingabeblatt 1'!$J$71)^Ergebnis!D65),"")</f>
        <v>-543314.78479059436</v>
      </c>
      <c r="H65" s="66">
        <f>IF(A65&lt;='Eingabeblatt 1'!$D$18,H64*(1+'Eingabeblatt 1'!$J$73),"")</f>
        <v>-411405.74681458378</v>
      </c>
      <c r="I65" s="66">
        <f>IF(A65&lt;='Eingabeblatt 1'!$D$18,(-'Eingabeblatt 1'!$L$75*(1+'Eingabeblatt 1'!$J$75)^Ergebnis!D65)-('Eingabeblatt 1'!$L$76*(1+'Eingabeblatt 1'!$J$76)^Ergebnis!D65)-('Eingabeblatt 1'!$L$77*(1+'Eingabeblatt 1'!$J$77)^Ergebnis!D65),"")</f>
        <v>-185820.95644335865</v>
      </c>
      <c r="J65" s="67">
        <f>IF(A64&lt;='Eingabeblatt 1'!$D$18,'Eingabeblatt 1'!$D$81*(1+'Eingabeblatt 1'!$J$81)^Ergebnis!D65)</f>
        <v>5690.4664021664476</v>
      </c>
      <c r="K65" s="68">
        <f>IF(A65&lt;='Eingabeblatt 1'!$D$18,'Eingabeblatt 1'!$L$15*(1+'Eingabeblatt 1'!$D$15)^D65,"")</f>
        <v>199808.82087724668</v>
      </c>
      <c r="L65" s="68">
        <f>IF(D65&lt;='Eingabeblatt 1'!$D$18,(SUMIFS('Eingabeblatt 2'!$Q$14:$Q$53,'Eingabeblatt 2'!$E$14:$E$53,Ergebnis!D65))*(1+'Eingabeblatt 1'!$J$65)^Ergebnis!D65,"")</f>
        <v>0</v>
      </c>
      <c r="M65" s="373">
        <f>IF(A65&lt;='Eingabeblatt 1'!$D$18,SUM(G65:L65)+E65,"")</f>
        <v>-935042.2007691235</v>
      </c>
      <c r="N65" s="83">
        <f>IF(A65&lt;='Eingabeblatt 1'!$D$18,(E65+G65+H65+I65+J65+K65+L65)/(1+'Eingabeblatt 1'!$D$19)^D65,"")</f>
        <v>-561562.11522427446</v>
      </c>
      <c r="O65" s="419">
        <f>IF(A65&lt;='Eingabeblatt 1'!$D$18,O64+N65,"")</f>
        <v>-45370920.013602957</v>
      </c>
      <c r="P65" s="89"/>
      <c r="Q65" s="89"/>
      <c r="R65" s="93">
        <f>(((40-D65)/40*$Q$52))*('Eingabeblatt 1'!$D$20)+$Q$52/40</f>
        <v>101750.11000000002</v>
      </c>
      <c r="S65" s="93"/>
      <c r="T65" s="93">
        <f>(((30-D65)/30*$S$52))*('Eingabeblatt 1'!$D$20)+$S$52/30</f>
        <v>0</v>
      </c>
      <c r="U65" s="93"/>
      <c r="V65" s="93">
        <f>(((20-D65)/20*$U$52))*('Eingabeblatt 1'!$D$20)+$U$52/20</f>
        <v>606702.14325000008</v>
      </c>
      <c r="W65" s="93"/>
      <c r="X65" s="93">
        <f>(((10-D56)/10*$W$62))*('Eingabeblatt 1'!$D$20)+$W$62/10</f>
        <v>645078.39911478409</v>
      </c>
      <c r="Y65" s="97">
        <f t="shared" si="8"/>
        <v>1353530.6523647842</v>
      </c>
      <c r="Z65" s="89"/>
      <c r="AA65" s="89"/>
      <c r="AB65" s="89"/>
      <c r="AC65" s="89"/>
      <c r="AD65" s="90">
        <v>13</v>
      </c>
      <c r="AE65" s="95">
        <f t="shared" si="0"/>
        <v>-45370920.013602957</v>
      </c>
      <c r="AF65" s="95">
        <f t="shared" si="1"/>
        <v>-49206741.283911519</v>
      </c>
      <c r="AG65" s="95">
        <f t="shared" si="5"/>
        <v>-3835821.2703085616</v>
      </c>
      <c r="AH65" s="96">
        <f t="shared" si="2"/>
        <v>0</v>
      </c>
      <c r="AI65" s="90"/>
      <c r="AJ65" s="90"/>
      <c r="AK65" s="90">
        <f>IF(AE65&gt;0,IF(SUM(AK52:AK64)=0,AD65,0),0)</f>
        <v>0</v>
      </c>
      <c r="AL65" s="90">
        <f>IF(AF65&gt;0,IF(SUM(AL52:AL64)=0,AD65,0),0)</f>
        <v>0</v>
      </c>
      <c r="AM65" s="89"/>
      <c r="AN65" s="89"/>
      <c r="AO65" s="93">
        <f t="shared" si="3"/>
        <v>-2288572.853133908</v>
      </c>
      <c r="AP65" s="93">
        <f t="shared" si="4"/>
        <v>-2470026.9351573205</v>
      </c>
      <c r="AQ65" s="93">
        <f t="shared" si="6"/>
        <v>181454.08202341245</v>
      </c>
      <c r="AR65" s="89"/>
      <c r="AS65" s="89"/>
      <c r="AT65" s="89"/>
      <c r="AU65" s="89"/>
      <c r="AV65" s="89"/>
      <c r="AW65" s="89"/>
      <c r="AX65" s="89"/>
      <c r="AY65" s="87"/>
      <c r="AZ65" s="87"/>
      <c r="BA65" s="87"/>
      <c r="BB65" s="87"/>
      <c r="BC65" s="87"/>
      <c r="BD65" s="87"/>
      <c r="BE65" s="87"/>
      <c r="BF65" s="87"/>
      <c r="BG65" s="87"/>
      <c r="BH65" s="87"/>
      <c r="BI65" s="87"/>
      <c r="BJ65" s="87"/>
      <c r="BK65" s="87"/>
      <c r="BL65" s="87"/>
      <c r="BM65" s="87"/>
      <c r="BN65" s="87"/>
      <c r="BO65" s="87"/>
      <c r="BP65" s="87"/>
      <c r="BQ65" s="87"/>
      <c r="BR65" s="87"/>
      <c r="BS65" s="87"/>
      <c r="BT65" s="87"/>
      <c r="BU65" s="87"/>
      <c r="BV65" s="87"/>
      <c r="BW65" s="87"/>
      <c r="BX65" s="87"/>
      <c r="BY65" s="87"/>
      <c r="BZ65" s="87"/>
      <c r="CA65" s="87"/>
      <c r="CB65" s="87"/>
      <c r="CC65" s="87"/>
      <c r="CD65" s="87"/>
      <c r="CE65" s="87"/>
      <c r="CF65" s="87"/>
      <c r="CG65" s="87"/>
      <c r="CH65" s="87"/>
      <c r="CI65" s="87"/>
      <c r="CJ65" s="87"/>
      <c r="CK65" s="87"/>
      <c r="CL65" s="87"/>
      <c r="CM65" s="87"/>
      <c r="CN65" s="87"/>
      <c r="CO65" s="87"/>
      <c r="CP65" s="87"/>
      <c r="CQ65" s="87"/>
      <c r="CR65" s="87"/>
      <c r="CS65" s="87"/>
      <c r="CT65" s="87"/>
      <c r="CU65" s="87"/>
      <c r="CV65" s="87"/>
      <c r="CW65" s="87"/>
      <c r="CX65" s="87"/>
    </row>
    <row r="66" spans="1:102" x14ac:dyDescent="0.3">
      <c r="A66" s="28">
        <v>14</v>
      </c>
      <c r="B66" s="20"/>
      <c r="C66" s="62">
        <f>IF(A66&lt;='Eingabeblatt 1'!$D$18,C65+1,"")</f>
        <v>2032</v>
      </c>
      <c r="D66" s="63">
        <f>IF(A66&lt;='Eingabeblatt 1'!$D$18,D65+1,"")</f>
        <v>14</v>
      </c>
      <c r="E66" s="64">
        <f>IF(A66&lt;='Eingabeblatt 1'!$D$18,IF(D66='Eingabeblatt 1'!$D$65,-'Eingabeblatt 1'!$L$65*(1+'Eingabeblatt 1'!$J$65)^D66,IF(D66='Eingabeblatt 1'!$D$66,-'Eingabeblatt 1'!$L$66*(1+'Eingabeblatt 1'!$J$66)^D66,IF(D66='Eingabeblatt 1'!$D$67,-'Eingabeblatt 1'!$L$67*(1+'Eingabeblatt 1'!$J$67)^D66,0))),"")</f>
        <v>0</v>
      </c>
      <c r="F66" s="64">
        <f t="shared" si="7"/>
        <v>-1330046.0679877345</v>
      </c>
      <c r="G66" s="65">
        <f>IF(A66&lt;='Eingabeblatt 1'!$D$18,IF(D66='Eingabeblatt 1'!$D$72,-('Eingabeblatt 1'!$L$71+'Eingabeblatt 1'!$L$72)*(1+'Eingabeblatt 1'!$J$71)^Ergebnis!D66,-('Eingabeblatt 1'!$L$71)*(1+'Eingabeblatt 1'!$J$71)^Ergebnis!D66),"")</f>
        <v>-554181.08048640634</v>
      </c>
      <c r="H66" s="66">
        <f>IF(A66&lt;='Eingabeblatt 1'!$D$18,H65*(1+'Eingabeblatt 1'!$J$73),"")</f>
        <v>-420662.37611791189</v>
      </c>
      <c r="I66" s="66">
        <f>IF(A66&lt;='Eingabeblatt 1'!$D$18,(-'Eingabeblatt 1'!$L$75*(1+'Eingabeblatt 1'!$J$75)^Ergebnis!D66)-('Eingabeblatt 1'!$L$76*(1+'Eingabeblatt 1'!$J$76)^Ergebnis!D66)-('Eingabeblatt 1'!$L$77*(1+'Eingabeblatt 1'!$J$77)^Ergebnis!D66),"")</f>
        <v>-186768.54386044963</v>
      </c>
      <c r="J66" s="67">
        <f>IF(A65&lt;='Eingabeblatt 1'!$D$18,'Eingabeblatt 1'!$D$81*(1+'Eingabeblatt 1'!$J$81)^Ergebnis!D66)</f>
        <v>5747.3710661881132</v>
      </c>
      <c r="K66" s="68">
        <f>IF(A66&lt;='Eingabeblatt 1'!$D$18,'Eingabeblatt 1'!$L$15*(1+'Eingabeblatt 1'!$D$15)^D66,"")</f>
        <v>207801.17371233655</v>
      </c>
      <c r="L66" s="68">
        <f>IF(D66&lt;='Eingabeblatt 1'!$D$18,(SUMIFS('Eingabeblatt 2'!$Q$14:$Q$53,'Eingabeblatt 2'!$E$14:$E$53,Ergebnis!D66))*(1+'Eingabeblatt 1'!$J$65)^Ergebnis!D66,"")</f>
        <v>0</v>
      </c>
      <c r="M66" s="373">
        <f>IF(A66&lt;='Eingabeblatt 1'!$D$18,SUM(G66:L66)+E66,"")</f>
        <v>-948063.45568624313</v>
      </c>
      <c r="N66" s="83">
        <f>IF(A66&lt;='Eingabeblatt 1'!$D$18,(E66+G66+H66+I66+J66+K66+L66)/(1+'Eingabeblatt 1'!$D$19)^D66,"")</f>
        <v>-547483.0225927406</v>
      </c>
      <c r="O66" s="419">
        <f>IF(A66&lt;='Eingabeblatt 1'!$D$18,O65+N66,"")</f>
        <v>-45918403.036195695</v>
      </c>
      <c r="P66" s="89"/>
      <c r="Q66" s="89"/>
      <c r="R66" s="93">
        <f>(((40-D66)/40*$Q$52))*('Eingabeblatt 1'!$D$20)+$Q$52/40</f>
        <v>100428.68</v>
      </c>
      <c r="S66" s="93"/>
      <c r="T66" s="93">
        <f>(((30-D66)/30*$S$52))*('Eingabeblatt 1'!$D$20)+$S$52/30</f>
        <v>0</v>
      </c>
      <c r="U66" s="93"/>
      <c r="V66" s="93">
        <f>(((20-D66)/20*$U$52))*('Eingabeblatt 1'!$D$20)+$U$52/20</f>
        <v>596058.24600000004</v>
      </c>
      <c r="W66" s="93"/>
      <c r="X66" s="93">
        <f>(((10-D57)/10*$W$62))*('Eingabeblatt 1'!$D$20)+$W$62/10</f>
        <v>633559.14198773447</v>
      </c>
      <c r="Y66" s="97">
        <f t="shared" si="8"/>
        <v>1330046.0679877345</v>
      </c>
      <c r="Z66" s="89"/>
      <c r="AA66" s="89"/>
      <c r="AB66" s="89"/>
      <c r="AC66" s="89"/>
      <c r="AD66" s="90">
        <v>14</v>
      </c>
      <c r="AE66" s="95">
        <f t="shared" si="0"/>
        <v>-45918403.036195695</v>
      </c>
      <c r="AF66" s="95">
        <f t="shared" si="1"/>
        <v>-49889391.22667814</v>
      </c>
      <c r="AG66" s="95">
        <f t="shared" si="5"/>
        <v>-3970988.1904824451</v>
      </c>
      <c r="AH66" s="96">
        <f t="shared" si="2"/>
        <v>0</v>
      </c>
      <c r="AI66" s="90"/>
      <c r="AJ66" s="90"/>
      <c r="AK66" s="90">
        <f>IF(AE66&gt;0,IF(SUM(AK52:AK65)=0,AD66,0),0)</f>
        <v>0</v>
      </c>
      <c r="AL66" s="90">
        <f>IF(AF66&gt;0,IF(SUM(AL52:AL65)=0,AD66,0),0)</f>
        <v>0</v>
      </c>
      <c r="AM66" s="89"/>
      <c r="AN66" s="89"/>
      <c r="AO66" s="93">
        <f t="shared" si="3"/>
        <v>-2278109.5236739777</v>
      </c>
      <c r="AP66" s="93">
        <f t="shared" si="4"/>
        <v>-2468507.3478463609</v>
      </c>
      <c r="AQ66" s="93">
        <f t="shared" si="6"/>
        <v>190397.82417238317</v>
      </c>
      <c r="AR66" s="89"/>
      <c r="AS66" s="89"/>
      <c r="AT66" s="89"/>
      <c r="AU66" s="89"/>
      <c r="AV66" s="89"/>
      <c r="AW66" s="89"/>
      <c r="AX66" s="89"/>
      <c r="AY66" s="87"/>
      <c r="AZ66" s="87"/>
      <c r="BA66" s="87"/>
      <c r="BB66" s="87"/>
      <c r="BC66" s="87"/>
      <c r="BD66" s="87"/>
      <c r="BE66" s="87"/>
      <c r="BF66" s="87"/>
      <c r="BG66" s="87"/>
      <c r="BH66" s="87"/>
      <c r="BI66" s="87"/>
      <c r="BJ66" s="87"/>
      <c r="BK66" s="87"/>
      <c r="BL66" s="87"/>
      <c r="BM66" s="87"/>
      <c r="BN66" s="87"/>
      <c r="BO66" s="87"/>
      <c r="BP66" s="87"/>
      <c r="BQ66" s="87"/>
      <c r="BR66" s="87"/>
      <c r="BS66" s="87"/>
      <c r="BT66" s="87"/>
      <c r="BU66" s="87"/>
      <c r="BV66" s="87"/>
      <c r="BW66" s="87"/>
      <c r="BX66" s="87"/>
      <c r="BY66" s="87"/>
      <c r="BZ66" s="87"/>
      <c r="CA66" s="87"/>
      <c r="CB66" s="87"/>
      <c r="CC66" s="87"/>
      <c r="CD66" s="87"/>
      <c r="CE66" s="87"/>
      <c r="CF66" s="87"/>
      <c r="CG66" s="87"/>
      <c r="CH66" s="87"/>
      <c r="CI66" s="87"/>
      <c r="CJ66" s="87"/>
      <c r="CK66" s="87"/>
      <c r="CL66" s="87"/>
      <c r="CM66" s="87"/>
      <c r="CN66" s="87"/>
      <c r="CO66" s="87"/>
      <c r="CP66" s="87"/>
      <c r="CQ66" s="87"/>
      <c r="CR66" s="87"/>
      <c r="CS66" s="87"/>
      <c r="CT66" s="87"/>
      <c r="CU66" s="87"/>
      <c r="CV66" s="87"/>
      <c r="CW66" s="87"/>
      <c r="CX66" s="87"/>
    </row>
    <row r="67" spans="1:102" x14ac:dyDescent="0.3">
      <c r="A67" s="28">
        <v>15</v>
      </c>
      <c r="B67" s="20"/>
      <c r="C67" s="62">
        <f>IF(A67&lt;='Eingabeblatt 1'!$D$18,C66+1,"")</f>
        <v>2033</v>
      </c>
      <c r="D67" s="63">
        <f>IF(A67&lt;='Eingabeblatt 1'!$D$18,D66+1,"")</f>
        <v>15</v>
      </c>
      <c r="E67" s="64">
        <f>IF(A67&lt;='Eingabeblatt 1'!$D$18,IF(D67='Eingabeblatt 1'!$D$65,-'Eingabeblatt 1'!$L$65*(1+'Eingabeblatt 1'!$J$65)^D67,IF(D67='Eingabeblatt 1'!$D$66,-'Eingabeblatt 1'!$L$66*(1+'Eingabeblatt 1'!$J$66)^D67,IF(D67='Eingabeblatt 1'!$D$67,-'Eingabeblatt 1'!$L$67*(1+'Eingabeblatt 1'!$J$67)^D67,0))),"")</f>
        <v>0</v>
      </c>
      <c r="F67" s="64">
        <f t="shared" si="7"/>
        <v>-1306561.4836106848</v>
      </c>
      <c r="G67" s="65">
        <f>IF(A67&lt;='Eingabeblatt 1'!$D$18,IF(D67='Eingabeblatt 1'!$D$72,-('Eingabeblatt 1'!$L$71+'Eingabeblatt 1'!$L$72)*(1+'Eingabeblatt 1'!$J$71)^Ergebnis!D67,-('Eingabeblatt 1'!$L$71)*(1+'Eingabeblatt 1'!$J$71)^Ergebnis!D67),"")</f>
        <v>-565264.70209613431</v>
      </c>
      <c r="H67" s="66">
        <f>IF(A67&lt;='Eingabeblatt 1'!$D$18,H66*(1+'Eingabeblatt 1'!$J$73),"")</f>
        <v>-430127.27958056488</v>
      </c>
      <c r="I67" s="66">
        <f>IF(A67&lt;='Eingabeblatt 1'!$D$18,(-'Eingabeblatt 1'!$L$75*(1+'Eingabeblatt 1'!$J$75)^Ergebnis!D67)-('Eingabeblatt 1'!$L$76*(1+'Eingabeblatt 1'!$J$76)^Ergebnis!D67)-('Eingabeblatt 1'!$L$77*(1+'Eingabeblatt 1'!$J$77)^Ergebnis!D67),"")</f>
        <v>-187721.05404097479</v>
      </c>
      <c r="J67" s="67">
        <f>IF(A66&lt;='Eingabeblatt 1'!$D$18,'Eingabeblatt 1'!$D$81*(1+'Eingabeblatt 1'!$J$81)^Ergebnis!D67)</f>
        <v>5804.8447768499918</v>
      </c>
      <c r="K67" s="68">
        <f>IF(A67&lt;='Eingabeblatt 1'!$D$18,'Eingabeblatt 1'!$L$15*(1+'Eingabeblatt 1'!$D$15)^D67,"")</f>
        <v>216113.22066083</v>
      </c>
      <c r="L67" s="68">
        <f>IF(D67&lt;='Eingabeblatt 1'!$D$18,(SUMIFS('Eingabeblatt 2'!$Q$14:$Q$53,'Eingabeblatt 2'!$E$14:$E$53,Ergebnis!D67))*(1+'Eingabeblatt 1'!$J$65)^Ergebnis!D67,"")</f>
        <v>0</v>
      </c>
      <c r="M67" s="373">
        <f>IF(A67&lt;='Eingabeblatt 1'!$D$18,SUM(G67:L67)+E67,"")</f>
        <v>-961194.97027999384</v>
      </c>
      <c r="N67" s="83">
        <f>IF(A67&lt;='Eingabeblatt 1'!$D$18,(E67+G67+H67+I67+J67+K67+L67)/(1+'Eingabeblatt 1'!$D$19)^D67,"")</f>
        <v>-533717.44718302169</v>
      </c>
      <c r="O67" s="419">
        <f>IF(A67&lt;='Eingabeblatt 1'!$D$18,O66+N67,"")</f>
        <v>-46452120.483378716</v>
      </c>
      <c r="P67" s="89"/>
      <c r="Q67" s="89"/>
      <c r="R67" s="93">
        <f>(((40-D67)/40*$Q$52))*('Eingabeblatt 1'!$D$20)+$Q$52/40</f>
        <v>99107.25</v>
      </c>
      <c r="S67" s="93"/>
      <c r="T67" s="93">
        <f>(((30-D67)/30*$S$52))*('Eingabeblatt 1'!$D$20)+$S$52/30</f>
        <v>0</v>
      </c>
      <c r="U67" s="93"/>
      <c r="V67" s="93">
        <f>(((20-D67)/20*$U$52))*('Eingabeblatt 1'!$D$20)+$U$52/20</f>
        <v>585414.34875</v>
      </c>
      <c r="W67" s="93"/>
      <c r="X67" s="93">
        <f>(((10-D58)/10*$W$62))*('Eingabeblatt 1'!$D$20)+$W$62/10</f>
        <v>622039.88486068475</v>
      </c>
      <c r="Y67" s="97">
        <f t="shared" si="8"/>
        <v>1306561.4836106848</v>
      </c>
      <c r="Z67" s="89"/>
      <c r="AA67" s="89"/>
      <c r="AB67" s="89"/>
      <c r="AC67" s="89"/>
      <c r="AD67" s="90">
        <v>15</v>
      </c>
      <c r="AE67" s="95">
        <f t="shared" si="0"/>
        <v>-46452120.483378716</v>
      </c>
      <c r="AF67" s="95">
        <f t="shared" si="1"/>
        <v>-50557766.908729658</v>
      </c>
      <c r="AG67" s="95">
        <f t="shared" si="5"/>
        <v>-4105646.4253509417</v>
      </c>
      <c r="AH67" s="96">
        <f t="shared" si="2"/>
        <v>0</v>
      </c>
      <c r="AI67" s="90"/>
      <c r="AJ67" s="90"/>
      <c r="AK67" s="90">
        <f>IF(AE67&gt;0,IF(SUM(AK52:AK66)=0,AD67,0),0)</f>
        <v>0</v>
      </c>
      <c r="AL67" s="90">
        <f>IF(AF67&gt;0,IF(SUM(AL52:AL66)=0,AD67,0),0)</f>
        <v>0</v>
      </c>
      <c r="AM67" s="89"/>
      <c r="AN67" s="89"/>
      <c r="AO67" s="93">
        <f t="shared" si="3"/>
        <v>-2267756.4538906785</v>
      </c>
      <c r="AP67" s="93">
        <f t="shared" si="4"/>
        <v>-2467414.8838294293</v>
      </c>
      <c r="AQ67" s="93">
        <f t="shared" si="6"/>
        <v>199658.42993875081</v>
      </c>
      <c r="AR67" s="89"/>
      <c r="AS67" s="89"/>
      <c r="AT67" s="89"/>
      <c r="AU67" s="89"/>
      <c r="AV67" s="89"/>
      <c r="AW67" s="89"/>
      <c r="AX67" s="89"/>
      <c r="AY67" s="87"/>
      <c r="AZ67" s="87"/>
      <c r="BA67" s="87"/>
      <c r="BB67" s="87"/>
      <c r="BC67" s="87"/>
      <c r="BD67" s="87"/>
      <c r="BE67" s="87"/>
      <c r="BF67" s="87"/>
      <c r="BG67" s="87"/>
      <c r="BH67" s="87"/>
      <c r="BI67" s="87"/>
      <c r="BJ67" s="87"/>
      <c r="BK67" s="87"/>
      <c r="BL67" s="87"/>
      <c r="BM67" s="87"/>
      <c r="BN67" s="87"/>
      <c r="BO67" s="87"/>
      <c r="BP67" s="87"/>
      <c r="BQ67" s="87"/>
      <c r="BR67" s="87"/>
      <c r="BS67" s="87"/>
      <c r="BT67" s="87"/>
      <c r="BU67" s="87"/>
      <c r="BV67" s="87"/>
      <c r="BW67" s="87"/>
      <c r="BX67" s="87"/>
      <c r="BY67" s="87"/>
      <c r="BZ67" s="87"/>
      <c r="CA67" s="87"/>
      <c r="CB67" s="87"/>
      <c r="CC67" s="87"/>
      <c r="CD67" s="87"/>
      <c r="CE67" s="87"/>
      <c r="CF67" s="87"/>
      <c r="CG67" s="87"/>
      <c r="CH67" s="87"/>
      <c r="CI67" s="87"/>
      <c r="CJ67" s="87"/>
      <c r="CK67" s="87"/>
      <c r="CL67" s="87"/>
      <c r="CM67" s="87"/>
      <c r="CN67" s="87"/>
      <c r="CO67" s="87"/>
      <c r="CP67" s="87"/>
      <c r="CQ67" s="87"/>
      <c r="CR67" s="87"/>
      <c r="CS67" s="87"/>
      <c r="CT67" s="87"/>
      <c r="CU67" s="87"/>
      <c r="CV67" s="87"/>
      <c r="CW67" s="87"/>
      <c r="CX67" s="87"/>
    </row>
    <row r="68" spans="1:102" x14ac:dyDescent="0.3">
      <c r="A68" s="28">
        <v>16</v>
      </c>
      <c r="B68" s="20"/>
      <c r="C68" s="62">
        <f>IF(A68&lt;='Eingabeblatt 1'!$D$18,C67+1,"")</f>
        <v>2034</v>
      </c>
      <c r="D68" s="63">
        <f>IF(A68&lt;='Eingabeblatt 1'!$D$18,D67+1,"")</f>
        <v>16</v>
      </c>
      <c r="E68" s="64">
        <f>IF(A68&lt;='Eingabeblatt 1'!$D$18,IF(D68='Eingabeblatt 1'!$D$65,-'Eingabeblatt 1'!$L$65*(1+'Eingabeblatt 1'!$J$65)^D68,IF(D68='Eingabeblatt 1'!$D$66,-'Eingabeblatt 1'!$L$66*(1+'Eingabeblatt 1'!$J$66)^D68,IF(D68='Eingabeblatt 1'!$D$67,-'Eingabeblatt 1'!$L$67*(1+'Eingabeblatt 1'!$J$67)^D68,0))),"")</f>
        <v>0</v>
      </c>
      <c r="F68" s="64">
        <f t="shared" si="7"/>
        <v>-1283076.899233635</v>
      </c>
      <c r="G68" s="65">
        <f>IF(A68&lt;='Eingabeblatt 1'!$D$18,IF(D68='Eingabeblatt 1'!$D$72,-('Eingabeblatt 1'!$L$71+'Eingabeblatt 1'!$L$72)*(1+'Eingabeblatt 1'!$J$71)^Ergebnis!D68,-('Eingabeblatt 1'!$L$71)*(1+'Eingabeblatt 1'!$J$71)^Ergebnis!D68),"")</f>
        <v>-576569.99613805709</v>
      </c>
      <c r="H68" s="66">
        <f>IF(A68&lt;='Eingabeblatt 1'!$D$18,H67*(1+'Eingabeblatt 1'!$J$73),"")</f>
        <v>-439805.14337112755</v>
      </c>
      <c r="I68" s="66">
        <f>IF(A68&lt;='Eingabeblatt 1'!$D$18,(-'Eingabeblatt 1'!$L$75*(1+'Eingabeblatt 1'!$J$75)^Ergebnis!D68)-('Eingabeblatt 1'!$L$76*(1+'Eingabeblatt 1'!$J$76)^Ergebnis!D68)-('Eingabeblatt 1'!$L$77*(1+'Eingabeblatt 1'!$J$77)^Ergebnis!D68),"")</f>
        <v>-188678.51344701488</v>
      </c>
      <c r="J68" s="67">
        <f>IF(A67&lt;='Eingabeblatt 1'!$D$18,'Eingabeblatt 1'!$D$81*(1+'Eingabeblatt 1'!$J$81)^Ergebnis!D68)</f>
        <v>5862.8932246184941</v>
      </c>
      <c r="K68" s="68">
        <f>IF(A68&lt;='Eingabeblatt 1'!$D$18,'Eingabeblatt 1'!$L$15*(1+'Eingabeblatt 1'!$D$15)^D68,"")</f>
        <v>224757.74948726324</v>
      </c>
      <c r="L68" s="68">
        <f>IF(D68&lt;='Eingabeblatt 1'!$D$18,(SUMIFS('Eingabeblatt 2'!$Q$14:$Q$53,'Eingabeblatt 2'!$E$14:$E$53,Ergebnis!D68))*(1+'Eingabeblatt 1'!$J$65)^Ergebnis!D68,"")</f>
        <v>0</v>
      </c>
      <c r="M68" s="373">
        <f>IF(A68&lt;='Eingabeblatt 1'!$D$18,SUM(G68:L68)+E68,"")</f>
        <v>-974433.01024431793</v>
      </c>
      <c r="N68" s="83">
        <f>IF(A68&lt;='Eingabeblatt 1'!$D$18,(E68+G68+H68+I68+J68+K68+L68)/(1+'Eingabeblatt 1'!$D$19)^D68,"")</f>
        <v>-520257.75082760624</v>
      </c>
      <c r="O68" s="419">
        <f>IF(A68&lt;='Eingabeblatt 1'!$D$18,O67+N68,"")</f>
        <v>-46972378.234206319</v>
      </c>
      <c r="P68" s="89"/>
      <c r="Q68" s="89"/>
      <c r="R68" s="93">
        <f>(((40-D68)/40*$Q$52))*('Eingabeblatt 1'!$D$20)+$Q$52/40</f>
        <v>97785.82</v>
      </c>
      <c r="S68" s="93"/>
      <c r="T68" s="93">
        <f>(((30-D68)/30*$S$52))*('Eingabeblatt 1'!$D$20)+$S$52/30</f>
        <v>0</v>
      </c>
      <c r="U68" s="93"/>
      <c r="V68" s="93">
        <f>(((20-D68)/20*$U$52))*('Eingabeblatt 1'!$D$20)+$U$52/20</f>
        <v>574770.45150000008</v>
      </c>
      <c r="W68" s="93"/>
      <c r="X68" s="93">
        <f>(((10-D59)/10*$W$62))*('Eingabeblatt 1'!$D$20)+$W$62/10</f>
        <v>610520.62773363502</v>
      </c>
      <c r="Y68" s="97">
        <f t="shared" si="8"/>
        <v>1283076.899233635</v>
      </c>
      <c r="Z68" s="89"/>
      <c r="AA68" s="89"/>
      <c r="AB68" s="89"/>
      <c r="AC68" s="89"/>
      <c r="AD68" s="90">
        <v>16</v>
      </c>
      <c r="AE68" s="95">
        <f t="shared" si="0"/>
        <v>-46972378.234206319</v>
      </c>
      <c r="AF68" s="95">
        <f t="shared" si="1"/>
        <v>-51212189.340011157</v>
      </c>
      <c r="AG68" s="95">
        <f t="shared" si="5"/>
        <v>-4239811.1058048382</v>
      </c>
      <c r="AH68" s="96">
        <f t="shared" si="2"/>
        <v>0</v>
      </c>
      <c r="AI68" s="90"/>
      <c r="AJ68" s="90"/>
      <c r="AK68" s="90">
        <f>IF(AE68&gt;0,IF(SUM(AK52:AK67)=0,AD68,0),0)</f>
        <v>0</v>
      </c>
      <c r="AL68" s="90">
        <f>IF(AF68&gt;0,IF(SUM(AL52:AL67)=0,AD68,0),0)</f>
        <v>0</v>
      </c>
      <c r="AM68" s="89"/>
      <c r="AN68" s="89"/>
      <c r="AO68" s="93">
        <f t="shared" si="3"/>
        <v>-2257509.9094779533</v>
      </c>
      <c r="AP68" s="93">
        <f t="shared" si="4"/>
        <v>-2466758.5005734405</v>
      </c>
      <c r="AQ68" s="93">
        <f t="shared" si="6"/>
        <v>209248.59109548712</v>
      </c>
      <c r="AR68" s="89"/>
      <c r="AS68" s="89"/>
      <c r="AT68" s="89"/>
      <c r="AU68" s="89"/>
      <c r="AV68" s="89"/>
      <c r="AW68" s="89"/>
      <c r="AX68" s="89"/>
      <c r="AY68" s="87"/>
      <c r="AZ68" s="87"/>
      <c r="BA68" s="87"/>
      <c r="BB68" s="87"/>
      <c r="BC68" s="87"/>
      <c r="BD68" s="87"/>
      <c r="BE68" s="87"/>
      <c r="BF68" s="87"/>
      <c r="BG68" s="87"/>
      <c r="BH68" s="87"/>
      <c r="BI68" s="87"/>
      <c r="BJ68" s="87"/>
      <c r="BK68" s="87"/>
      <c r="BL68" s="87"/>
      <c r="BM68" s="87"/>
      <c r="BN68" s="87"/>
      <c r="BO68" s="87"/>
      <c r="BP68" s="87"/>
      <c r="BQ68" s="87"/>
      <c r="BR68" s="87"/>
      <c r="BS68" s="87"/>
      <c r="BT68" s="87"/>
      <c r="BU68" s="87"/>
      <c r="BV68" s="87"/>
      <c r="BW68" s="87"/>
      <c r="BX68" s="87"/>
      <c r="BY68" s="87"/>
      <c r="BZ68" s="87"/>
      <c r="CA68" s="87"/>
      <c r="CB68" s="87"/>
      <c r="CC68" s="87"/>
      <c r="CD68" s="87"/>
      <c r="CE68" s="87"/>
      <c r="CF68" s="87"/>
      <c r="CG68" s="87"/>
      <c r="CH68" s="87"/>
      <c r="CI68" s="87"/>
      <c r="CJ68" s="87"/>
      <c r="CK68" s="87"/>
      <c r="CL68" s="87"/>
      <c r="CM68" s="87"/>
      <c r="CN68" s="87"/>
      <c r="CO68" s="87"/>
      <c r="CP68" s="87"/>
      <c r="CQ68" s="87"/>
      <c r="CR68" s="87"/>
      <c r="CS68" s="87"/>
      <c r="CT68" s="87"/>
      <c r="CU68" s="87"/>
      <c r="CV68" s="87"/>
      <c r="CW68" s="87"/>
      <c r="CX68" s="87"/>
    </row>
    <row r="69" spans="1:102" ht="14.25" customHeight="1" x14ac:dyDescent="0.3">
      <c r="A69" s="28">
        <v>17</v>
      </c>
      <c r="C69" s="62">
        <f>IF(A69&lt;='Eingabeblatt 1'!$D$18,C68+1,"")</f>
        <v>2035</v>
      </c>
      <c r="D69" s="63">
        <f>IF(A69&lt;='Eingabeblatt 1'!$D$18,D68+1,"")</f>
        <v>17</v>
      </c>
      <c r="E69" s="64">
        <f>IF(A69&lt;='Eingabeblatt 1'!$D$18,IF(D69='Eingabeblatt 1'!$D$65,-'Eingabeblatt 1'!$L$65*(1+'Eingabeblatt 1'!$J$65)^D69,IF(D69='Eingabeblatt 1'!$D$66,-'Eingabeblatt 1'!$L$66*(1+'Eingabeblatt 1'!$J$66)^D69,IF(D69='Eingabeblatt 1'!$D$67,-'Eingabeblatt 1'!$L$67*(1+'Eingabeblatt 1'!$J$67)^D69,0))),"")</f>
        <v>0</v>
      </c>
      <c r="F69" s="64">
        <f t="shared" si="7"/>
        <v>-1259592.3148565853</v>
      </c>
      <c r="G69" s="65">
        <f>IF(A69&lt;='Eingabeblatt 1'!$D$18,IF(D69='Eingabeblatt 1'!$D$72,-('Eingabeblatt 1'!$L$71+'Eingabeblatt 1'!$L$72)*(1+'Eingabeblatt 1'!$J$71)^Ergebnis!D69,-('Eingabeblatt 1'!$L$71)*(1+'Eingabeblatt 1'!$J$71)^Ergebnis!D69),"")</f>
        <v>-588101.39606081822</v>
      </c>
      <c r="H69" s="66">
        <f>IF(A69&lt;='Eingabeblatt 1'!$D$18,H68*(1+'Eingabeblatt 1'!$J$73),"")</f>
        <v>-449700.75909697788</v>
      </c>
      <c r="I69" s="66">
        <f>IF(A69&lt;='Eingabeblatt 1'!$D$18,(-'Eingabeblatt 1'!$L$75*(1+'Eingabeblatt 1'!$J$75)^Ergebnis!D69)-('Eingabeblatt 1'!$L$76*(1+'Eingabeblatt 1'!$J$76)^Ergebnis!D69)-('Eingabeblatt 1'!$L$77*(1+'Eingabeblatt 1'!$J$77)^Ergebnis!D69),"")</f>
        <v>-189640.94869144348</v>
      </c>
      <c r="J69" s="67">
        <f>IF(A68&lt;='Eingabeblatt 1'!$D$18,'Eingabeblatt 1'!$D$81*(1+'Eingabeblatt 1'!$J$81)^Ergebnis!D69)</f>
        <v>5921.5221568646793</v>
      </c>
      <c r="K69" s="68">
        <f>IF(A69&lt;='Eingabeblatt 1'!$D$18,'Eingabeblatt 1'!$L$15*(1+'Eingabeblatt 1'!$D$15)^D69,"")</f>
        <v>233748.0594667538</v>
      </c>
      <c r="L69" s="68">
        <f>IF(D69&lt;='Eingabeblatt 1'!$D$18,(SUMIFS('Eingabeblatt 2'!$Q$14:$Q$53,'Eingabeblatt 2'!$E$14:$E$53,Ergebnis!D69))*(1+'Eingabeblatt 1'!$J$65)^Ergebnis!D69,"")</f>
        <v>0</v>
      </c>
      <c r="M69" s="373">
        <f>IF(A69&lt;='Eingabeblatt 1'!$D$18,SUM(G69:L69)+E69,"")</f>
        <v>-987773.52222562116</v>
      </c>
      <c r="N69" s="83">
        <f>IF(A69&lt;='Eingabeblatt 1'!$D$18,(E69+G69+H69+I69+J69+K69+L69)/(1+'Eingabeblatt 1'!$D$19)^D69,"")</f>
        <v>-507096.49927140283</v>
      </c>
      <c r="O69" s="419">
        <f>IF(A69&lt;='Eingabeblatt 1'!$D$18,O68+N69,"")</f>
        <v>-47479474.733477719</v>
      </c>
      <c r="P69" s="89"/>
      <c r="Q69" s="89"/>
      <c r="R69" s="93">
        <f>(((40-D69)/40*$Q$52))*('Eingabeblatt 1'!$D$20)+$Q$52/40</f>
        <v>96464.39</v>
      </c>
      <c r="S69" s="93"/>
      <c r="T69" s="93">
        <f>(((30-D69)/30*$S$52))*('Eingabeblatt 1'!$D$20)+$S$52/30</f>
        <v>0</v>
      </c>
      <c r="U69" s="93"/>
      <c r="V69" s="93">
        <f>(((20-D69)/20*$U$52))*('Eingabeblatt 1'!$D$20)+$U$52/20</f>
        <v>564126.55425000004</v>
      </c>
      <c r="W69" s="93"/>
      <c r="X69" s="93">
        <f>(((10-D60)/10*$W$62))*('Eingabeblatt 1'!$D$20)+$W$62/10</f>
        <v>599001.37060658529</v>
      </c>
      <c r="Y69" s="97">
        <f t="shared" si="8"/>
        <v>1259592.3148565853</v>
      </c>
      <c r="Z69" s="89"/>
      <c r="AA69" s="89"/>
      <c r="AB69" s="89"/>
      <c r="AC69" s="89"/>
      <c r="AD69" s="90">
        <v>17</v>
      </c>
      <c r="AE69" s="95">
        <f t="shared" si="0"/>
        <v>-47479474.733477719</v>
      </c>
      <c r="AF69" s="95">
        <f t="shared" si="1"/>
        <v>-51852971.69474978</v>
      </c>
      <c r="AG69" s="95">
        <f t="shared" si="5"/>
        <v>-4373496.9612720609</v>
      </c>
      <c r="AH69" s="96">
        <f t="shared" si="2"/>
        <v>0</v>
      </c>
      <c r="AI69" s="90"/>
      <c r="AJ69" s="90"/>
      <c r="AK69" s="90">
        <f>IF(AE69&gt;0,IF(SUM(AK52:AK68)=0,AD69,0),0)</f>
        <v>0</v>
      </c>
      <c r="AL69" s="90">
        <f>IF(AF69&gt;0,IF(SUM(AL52:AL68)=0,AD69,0),0)</f>
        <v>0</v>
      </c>
      <c r="AM69" s="89"/>
      <c r="AN69" s="89"/>
      <c r="AO69" s="93">
        <f t="shared" si="3"/>
        <v>-2247365.8370822063</v>
      </c>
      <c r="AP69" s="93">
        <f t="shared" si="4"/>
        <v>-2466547.34633908</v>
      </c>
      <c r="AQ69" s="93">
        <f t="shared" si="6"/>
        <v>219181.50925687375</v>
      </c>
      <c r="AR69" s="89"/>
      <c r="AS69" s="89"/>
      <c r="AT69" s="89"/>
      <c r="AU69" s="89"/>
      <c r="AV69" s="89"/>
      <c r="AW69" s="89"/>
      <c r="AX69" s="89"/>
      <c r="AY69" s="87"/>
      <c r="AZ69" s="87"/>
      <c r="BA69" s="87"/>
      <c r="BB69" s="87"/>
      <c r="BC69" s="87"/>
      <c r="BD69" s="87"/>
      <c r="BE69" s="87"/>
      <c r="BF69" s="87"/>
      <c r="BG69" s="87"/>
      <c r="BH69" s="87"/>
      <c r="BI69" s="87"/>
      <c r="BJ69" s="87"/>
      <c r="BK69" s="87"/>
      <c r="BL69" s="87"/>
      <c r="BM69" s="87"/>
      <c r="BN69" s="87"/>
      <c r="BO69" s="87"/>
      <c r="BP69" s="87"/>
      <c r="BQ69" s="87"/>
      <c r="BR69" s="87"/>
      <c r="BS69" s="87"/>
      <c r="BT69" s="87"/>
      <c r="BU69" s="87"/>
      <c r="BV69" s="87"/>
      <c r="BW69" s="87"/>
      <c r="BX69" s="87"/>
      <c r="BY69" s="87"/>
      <c r="BZ69" s="87"/>
      <c r="CA69" s="87"/>
      <c r="CB69" s="87"/>
      <c r="CC69" s="87"/>
      <c r="CD69" s="87"/>
      <c r="CE69" s="87"/>
      <c r="CF69" s="87"/>
      <c r="CG69" s="87"/>
      <c r="CH69" s="87"/>
      <c r="CI69" s="87"/>
      <c r="CJ69" s="87"/>
      <c r="CK69" s="87"/>
      <c r="CL69" s="87"/>
      <c r="CM69" s="87"/>
      <c r="CN69" s="87"/>
      <c r="CO69" s="87"/>
      <c r="CP69" s="87"/>
      <c r="CQ69" s="87"/>
      <c r="CR69" s="87"/>
      <c r="CS69" s="87"/>
      <c r="CT69" s="87"/>
      <c r="CU69" s="87"/>
      <c r="CV69" s="87"/>
      <c r="CW69" s="87"/>
      <c r="CX69" s="87"/>
    </row>
    <row r="70" spans="1:102" ht="14.25" customHeight="1" x14ac:dyDescent="0.3">
      <c r="A70" s="28">
        <v>18</v>
      </c>
      <c r="C70" s="62">
        <f>IF(A70&lt;='Eingabeblatt 1'!$D$18,C69+1,"")</f>
        <v>2036</v>
      </c>
      <c r="D70" s="63">
        <f>IF(A70&lt;='Eingabeblatt 1'!$D$18,D69+1,"")</f>
        <v>18</v>
      </c>
      <c r="E70" s="64">
        <f>IF(A70&lt;='Eingabeblatt 1'!$D$18,IF(D70='Eingabeblatt 1'!$D$65,-'Eingabeblatt 1'!$L$65*(1+'Eingabeblatt 1'!$J$65)^D70,IF(D70='Eingabeblatt 1'!$D$66,-'Eingabeblatt 1'!$L$66*(1+'Eingabeblatt 1'!$J$66)^D70,IF(D70='Eingabeblatt 1'!$D$67,-'Eingabeblatt 1'!$L$67*(1+'Eingabeblatt 1'!$J$67)^D70,0))),"")</f>
        <v>0</v>
      </c>
      <c r="F70" s="64">
        <f t="shared" si="7"/>
        <v>-1236107.7304795356</v>
      </c>
      <c r="G70" s="65">
        <f>IF(A70&lt;='Eingabeblatt 1'!$D$18,IF(D70='Eingabeblatt 1'!$D$72,-('Eingabeblatt 1'!$L$71+'Eingabeblatt 1'!$L$72)*(1+'Eingabeblatt 1'!$J$71)^Ergebnis!D70,-('Eingabeblatt 1'!$L$71)*(1+'Eingabeblatt 1'!$J$71)^Ergebnis!D70),"")</f>
        <v>-599863.42398203455</v>
      </c>
      <c r="H70" s="66">
        <f>IF(A70&lt;='Eingabeblatt 1'!$D$18,H69*(1+'Eingabeblatt 1'!$J$73),"")</f>
        <v>-459819.02617665986</v>
      </c>
      <c r="I70" s="66">
        <f>IF(A70&lt;='Eingabeblatt 1'!$D$18,(-'Eingabeblatt 1'!$L$75*(1+'Eingabeblatt 1'!$J$75)^Ergebnis!D70)-('Eingabeblatt 1'!$L$76*(1+'Eingabeblatt 1'!$J$76)^Ergebnis!D70)-('Eingabeblatt 1'!$L$77*(1+'Eingabeblatt 1'!$J$77)^Ergebnis!D70),"")</f>
        <v>-190608.38653886615</v>
      </c>
      <c r="J70" s="67">
        <f>IF(A69&lt;='Eingabeblatt 1'!$D$18,'Eingabeblatt 1'!$D$81*(1+'Eingabeblatt 1'!$J$81)^Ergebnis!D70)</f>
        <v>5980.7373784333258</v>
      </c>
      <c r="K70" s="68">
        <f>IF(A70&lt;='Eingabeblatt 1'!$D$18,'Eingabeblatt 1'!$L$15*(1+'Eingabeblatt 1'!$D$15)^D70,"")</f>
        <v>243097.98184542396</v>
      </c>
      <c r="L70" s="68">
        <f>IF(D70&lt;='Eingabeblatt 1'!$D$18,(SUMIFS('Eingabeblatt 2'!$Q$14:$Q$53,'Eingabeblatt 2'!$E$14:$E$53,Ergebnis!D70))*(1+'Eingabeblatt 1'!$J$65)^Ergebnis!D70,"")</f>
        <v>0</v>
      </c>
      <c r="M70" s="373">
        <f>IF(A70&lt;='Eingabeblatt 1'!$D$18,SUM(G70:L70)+E70,"")</f>
        <v>-1001212.1174737032</v>
      </c>
      <c r="N70" s="83">
        <f>IF(A70&lt;='Eingabeblatt 1'!$D$18,(E70+G70+H70+I70+J70+K70+L70)/(1+'Eingabeblatt 1'!$D$19)^D70,"")</f>
        <v>-494226.45628230658</v>
      </c>
      <c r="O70" s="419">
        <f>IF(A70&lt;='Eingabeblatt 1'!$D$18,O69+N70,"")</f>
        <v>-47973701.189760029</v>
      </c>
      <c r="P70" s="89"/>
      <c r="Q70" s="89"/>
      <c r="R70" s="93">
        <f>(((40-D70)/40*$Q$52))*('Eingabeblatt 1'!$D$20)+$Q$52/40</f>
        <v>95142.96</v>
      </c>
      <c r="S70" s="93"/>
      <c r="T70" s="93">
        <f>(((30-D70)/30*$S$52))*('Eingabeblatt 1'!$D$20)+$S$52/30</f>
        <v>0</v>
      </c>
      <c r="U70" s="93"/>
      <c r="V70" s="93">
        <f>(((20-D70)/20*$U$52))*('Eingabeblatt 1'!$D$20)+$U$52/20</f>
        <v>553482.65700000001</v>
      </c>
      <c r="W70" s="93"/>
      <c r="X70" s="93">
        <f>(((10-D61)/10*$W$62))*('Eingabeblatt 1'!$D$20)+$W$62/10</f>
        <v>587482.11347953556</v>
      </c>
      <c r="Y70" s="97">
        <f t="shared" si="8"/>
        <v>1236107.7304795356</v>
      </c>
      <c r="Z70" s="89"/>
      <c r="AA70" s="89"/>
      <c r="AB70" s="89"/>
      <c r="AC70" s="89"/>
      <c r="AD70" s="90">
        <v>18</v>
      </c>
      <c r="AE70" s="95">
        <f t="shared" si="0"/>
        <v>-47973701.189760029</v>
      </c>
      <c r="AF70" s="95">
        <f t="shared" si="1"/>
        <v>-52480419.518690363</v>
      </c>
      <c r="AG70" s="95">
        <f t="shared" si="5"/>
        <v>-4506718.3289303333</v>
      </c>
      <c r="AH70" s="96">
        <f t="shared" si="2"/>
        <v>0</v>
      </c>
      <c r="AI70" s="90"/>
      <c r="AJ70" s="90"/>
      <c r="AK70" s="90">
        <f>IF(AE70&gt;0,IF(SUM(AK52:AK69)=0,AD70,0),0)</f>
        <v>0</v>
      </c>
      <c r="AL70" s="90">
        <f>IF(AF70&gt;0,IF(SUM(AL52:AL69)=0,AD70,0),0)</f>
        <v>0</v>
      </c>
      <c r="AM70" s="89"/>
      <c r="AN70" s="89"/>
      <c r="AO70" s="93">
        <f t="shared" si="3"/>
        <v>-2237319.8479532385</v>
      </c>
      <c r="AP70" s="93">
        <f t="shared" si="4"/>
        <v>-2466790.7642771518</v>
      </c>
      <c r="AQ70" s="93">
        <f t="shared" si="6"/>
        <v>229470.91632391326</v>
      </c>
      <c r="AR70" s="89"/>
      <c r="AS70" s="89"/>
      <c r="AT70" s="89"/>
      <c r="AU70" s="89"/>
      <c r="AV70" s="89"/>
      <c r="AW70" s="89"/>
      <c r="AX70" s="89"/>
      <c r="AY70" s="87"/>
      <c r="AZ70" s="87"/>
      <c r="BA70" s="87"/>
      <c r="BB70" s="87"/>
      <c r="BC70" s="87"/>
      <c r="BD70" s="87"/>
      <c r="BE70" s="87"/>
      <c r="BF70" s="87"/>
      <c r="BG70" s="87"/>
      <c r="BH70" s="87"/>
      <c r="BI70" s="87"/>
      <c r="BJ70" s="87"/>
      <c r="BK70" s="87"/>
      <c r="BL70" s="87"/>
      <c r="BM70" s="87"/>
      <c r="BN70" s="87"/>
      <c r="BO70" s="87"/>
      <c r="BP70" s="87"/>
      <c r="BQ70" s="87"/>
      <c r="BR70" s="87"/>
      <c r="BS70" s="87"/>
      <c r="BT70" s="87"/>
      <c r="BU70" s="87"/>
      <c r="BV70" s="87"/>
      <c r="BW70" s="87"/>
      <c r="BX70" s="87"/>
      <c r="BY70" s="87"/>
      <c r="BZ70" s="87"/>
      <c r="CA70" s="87"/>
      <c r="CB70" s="87"/>
      <c r="CC70" s="87"/>
      <c r="CD70" s="87"/>
      <c r="CE70" s="87"/>
      <c r="CF70" s="87"/>
      <c r="CG70" s="87"/>
      <c r="CH70" s="87"/>
      <c r="CI70" s="87"/>
      <c r="CJ70" s="87"/>
      <c r="CK70" s="87"/>
      <c r="CL70" s="87"/>
      <c r="CM70" s="87"/>
      <c r="CN70" s="87"/>
      <c r="CO70" s="87"/>
      <c r="CP70" s="87"/>
      <c r="CQ70" s="87"/>
      <c r="CR70" s="87"/>
      <c r="CS70" s="87"/>
      <c r="CT70" s="87"/>
      <c r="CU70" s="87"/>
      <c r="CV70" s="87"/>
      <c r="CW70" s="87"/>
      <c r="CX70" s="87"/>
    </row>
    <row r="71" spans="1:102" ht="14.25" customHeight="1" x14ac:dyDescent="0.3">
      <c r="A71" s="28">
        <v>19</v>
      </c>
      <c r="C71" s="62">
        <f>IF(A71&lt;='Eingabeblatt 1'!$D$18,C70+1,"")</f>
        <v>2037</v>
      </c>
      <c r="D71" s="63">
        <f>IF(A71&lt;='Eingabeblatt 1'!$D$18,D70+1,"")</f>
        <v>19</v>
      </c>
      <c r="E71" s="64">
        <f>IF(A71&lt;='Eingabeblatt 1'!$D$18,IF(D71='Eingabeblatt 1'!$D$65,-'Eingabeblatt 1'!$L$65*(1+'Eingabeblatt 1'!$J$65)^D71,IF(D71='Eingabeblatt 1'!$D$66,-'Eingabeblatt 1'!$L$66*(1+'Eingabeblatt 1'!$J$66)^D71,IF(D71='Eingabeblatt 1'!$D$67,-'Eingabeblatt 1'!$L$67*(1+'Eingabeblatt 1'!$J$67)^D71,0))),"")</f>
        <v>0</v>
      </c>
      <c r="F71" s="64">
        <f t="shared" si="7"/>
        <v>-1212623.1461024859</v>
      </c>
      <c r="G71" s="65">
        <f>IF(A71&lt;='Eingabeblatt 1'!$D$18,IF(D71='Eingabeblatt 1'!$D$72,-('Eingabeblatt 1'!$L$71+'Eingabeblatt 1'!$L$72)*(1+'Eingabeblatt 1'!$J$71)^Ergebnis!D71,-('Eingabeblatt 1'!$L$71)*(1+'Eingabeblatt 1'!$J$71)^Ergebnis!D71),"")</f>
        <v>-611860.69246167527</v>
      </c>
      <c r="H71" s="66">
        <f>IF(A71&lt;='Eingabeblatt 1'!$D$18,H70*(1+'Eingabeblatt 1'!$J$73),"")</f>
        <v>-470164.9542656347</v>
      </c>
      <c r="I71" s="66">
        <f>IF(A71&lt;='Eingabeblatt 1'!$D$18,(-'Eingabeblatt 1'!$L$75*(1+'Eingabeblatt 1'!$J$75)^Ergebnis!D71)-('Eingabeblatt 1'!$L$76*(1+'Eingabeblatt 1'!$J$76)^Ergebnis!D71)-('Eingabeblatt 1'!$L$77*(1+'Eingabeblatt 1'!$J$77)^Ergebnis!D71),"")</f>
        <v>-191580.85390656564</v>
      </c>
      <c r="J71" s="67">
        <f>IF(A70&lt;='Eingabeblatt 1'!$D$18,'Eingabeblatt 1'!$D$81*(1+'Eingabeblatt 1'!$J$81)^Ergebnis!D71)</f>
        <v>6040.5447522176582</v>
      </c>
      <c r="K71" s="68">
        <f>IF(A71&lt;='Eingabeblatt 1'!$D$18,'Eingabeblatt 1'!$L$15*(1+'Eingabeblatt 1'!$D$15)^D71,"")</f>
        <v>252821.90111924091</v>
      </c>
      <c r="L71" s="68">
        <f>IF(D71&lt;='Eingabeblatt 1'!$D$18,(SUMIFS('Eingabeblatt 2'!$Q$14:$Q$53,'Eingabeblatt 2'!$E$14:$E$53,Ergebnis!D71))*(1+'Eingabeblatt 1'!$J$65)^Ergebnis!D71,"")</f>
        <v>0</v>
      </c>
      <c r="M71" s="373">
        <f>IF(A71&lt;='Eingabeblatt 1'!$D$18,SUM(G71:L71)+E71,"")</f>
        <v>-1014744.0547624171</v>
      </c>
      <c r="N71" s="83">
        <f>IF(A71&lt;='Eingabeblatt 1'!$D$18,(E71+G71+H71+I71+J71+K71+L71)/(1+'Eingabeblatt 1'!$D$19)^D71,"")</f>
        <v>-481640.57794209366</v>
      </c>
      <c r="O71" s="419">
        <f>IF(A71&lt;='Eingabeblatt 1'!$D$18,O70+N71,"")</f>
        <v>-48455341.767702125</v>
      </c>
      <c r="P71" s="89"/>
      <c r="Q71" s="89"/>
      <c r="R71" s="93">
        <f>(((40-D71)/40*$Q$52))*('Eingabeblatt 1'!$D$20)+$Q$52/40</f>
        <v>93821.53</v>
      </c>
      <c r="S71" s="93"/>
      <c r="T71" s="93">
        <f>(((30-D71)/30*$S$52))*('Eingabeblatt 1'!$D$20)+$S$52/30</f>
        <v>0</v>
      </c>
      <c r="U71" s="93"/>
      <c r="V71" s="93">
        <f>(((20-D71)/20*$U$52))*('Eingabeblatt 1'!$D$20)+$U$52/20</f>
        <v>542838.75975000008</v>
      </c>
      <c r="W71" s="93"/>
      <c r="X71" s="93">
        <f>(((10-D62)/10*$W$62))*('Eingabeblatt 1'!$D$20)+$W$62/10</f>
        <v>575962.85635248583</v>
      </c>
      <c r="Y71" s="97">
        <f t="shared" si="8"/>
        <v>1212623.1461024859</v>
      </c>
      <c r="Z71" s="89"/>
      <c r="AA71" s="89"/>
      <c r="AB71" s="89"/>
      <c r="AC71" s="89"/>
      <c r="AD71" s="90">
        <v>19</v>
      </c>
      <c r="AE71" s="95">
        <f t="shared" si="0"/>
        <v>-48455341.767702125</v>
      </c>
      <c r="AF71" s="95">
        <f t="shared" si="1"/>
        <v>-53094830.930462539</v>
      </c>
      <c r="AG71" s="95">
        <f t="shared" si="5"/>
        <v>-4639489.1627604142</v>
      </c>
      <c r="AH71" s="96">
        <f t="shared" si="2"/>
        <v>0</v>
      </c>
      <c r="AI71" s="90"/>
      <c r="AJ71" s="90"/>
      <c r="AK71" s="90">
        <f>IF(AE71&gt;0,IF(SUM(AK52:AK70)=0,AD71,0),0)</f>
        <v>0</v>
      </c>
      <c r="AL71" s="90">
        <f>IF(AF71&gt;0,IF(SUM(AL52:AL70)=0,AD71,0),0)</f>
        <v>0</v>
      </c>
      <c r="AM71" s="89"/>
      <c r="AN71" s="89"/>
      <c r="AO71" s="93">
        <f t="shared" si="3"/>
        <v>-2227367.2008649027</v>
      </c>
      <c r="AP71" s="93">
        <f t="shared" si="4"/>
        <v>-2467498.2966133207</v>
      </c>
      <c r="AQ71" s="93">
        <f t="shared" si="6"/>
        <v>240131.09574841801</v>
      </c>
      <c r="AR71" s="89"/>
      <c r="AS71" s="89"/>
      <c r="AT71" s="89"/>
      <c r="AU71" s="89"/>
      <c r="AV71" s="89"/>
      <c r="AW71" s="89"/>
      <c r="AX71" s="89"/>
      <c r="AY71" s="87"/>
      <c r="AZ71" s="87"/>
      <c r="BA71" s="87"/>
      <c r="BB71" s="87"/>
      <c r="BC71" s="87"/>
      <c r="BD71" s="87"/>
      <c r="BE71" s="87"/>
      <c r="BF71" s="87"/>
      <c r="BG71" s="87"/>
      <c r="BH71" s="87"/>
      <c r="BI71" s="87"/>
      <c r="BJ71" s="87"/>
      <c r="BK71" s="87"/>
      <c r="BL71" s="87"/>
      <c r="BM71" s="87"/>
      <c r="BN71" s="87"/>
      <c r="BO71" s="87"/>
      <c r="BP71" s="87"/>
      <c r="BQ71" s="87"/>
      <c r="BR71" s="87"/>
      <c r="BS71" s="87"/>
      <c r="BT71" s="87"/>
      <c r="BU71" s="87"/>
      <c r="BV71" s="87"/>
      <c r="BW71" s="87"/>
      <c r="BX71" s="87"/>
      <c r="BY71" s="87"/>
      <c r="BZ71" s="87"/>
      <c r="CA71" s="87"/>
      <c r="CB71" s="87"/>
      <c r="CC71" s="87"/>
      <c r="CD71" s="87"/>
      <c r="CE71" s="87"/>
      <c r="CF71" s="87"/>
      <c r="CG71" s="87"/>
      <c r="CH71" s="87"/>
      <c r="CI71" s="87"/>
      <c r="CJ71" s="87"/>
      <c r="CK71" s="87"/>
      <c r="CL71" s="87"/>
      <c r="CM71" s="87"/>
      <c r="CN71" s="87"/>
      <c r="CO71" s="87"/>
      <c r="CP71" s="87"/>
      <c r="CQ71" s="87"/>
      <c r="CR71" s="87"/>
      <c r="CS71" s="87"/>
      <c r="CT71" s="87"/>
      <c r="CU71" s="87"/>
      <c r="CV71" s="87"/>
      <c r="CW71" s="87"/>
      <c r="CX71" s="87"/>
    </row>
    <row r="72" spans="1:102" ht="14.25" customHeight="1" x14ac:dyDescent="0.3">
      <c r="A72" s="28">
        <v>20</v>
      </c>
      <c r="C72" s="62">
        <f>IF(A72&lt;='Eingabeblatt 1'!$D$18,C71+1,"")</f>
        <v>2038</v>
      </c>
      <c r="D72" s="63">
        <f>IF(A72&lt;='Eingabeblatt 1'!$D$18,D71+1,"")</f>
        <v>20</v>
      </c>
      <c r="E72" s="64">
        <f>IF(A72&lt;='Eingabeblatt 1'!$D$18,IF(D72='Eingabeblatt 1'!$D$65,-'Eingabeblatt 1'!$L$65*(1+'Eingabeblatt 1'!$J$65)^D72,IF(D72='Eingabeblatt 1'!$D$66,-'Eingabeblatt 1'!$L$66*(1+'Eingabeblatt 1'!$J$66)^D72,IF(D72='Eingabeblatt 1'!$D$67,-'Eingabeblatt 1'!$L$67*(1+'Eingabeblatt 1'!$J$67)^D72,0))),"")</f>
        <v>-38590345.309077248</v>
      </c>
      <c r="F72" s="64">
        <f t="shared" si="7"/>
        <v>-2012295.5261783563</v>
      </c>
      <c r="G72" s="65">
        <f>IF(A72&lt;='Eingabeblatt 1'!$D$18,IF(D72='Eingabeblatt 1'!$D$72,-('Eingabeblatt 1'!$L$71+'Eingabeblatt 1'!$L$72)*(1+'Eingabeblatt 1'!$J$71)^Ergebnis!D72,-('Eingabeblatt 1'!$L$71)*(1+'Eingabeblatt 1'!$J$71)^Ergebnis!D72),"")</f>
        <v>-624097.90631090873</v>
      </c>
      <c r="H72" s="66">
        <f>IF(A72&lt;='Eingabeblatt 1'!$D$18,H71*(1+'Eingabeblatt 1'!$J$73),"")</f>
        <v>-480743.66573661147</v>
      </c>
      <c r="I72" s="66">
        <f>IF(A72&lt;='Eingabeblatt 1'!$D$18,(-'Eingabeblatt 1'!$L$75*(1+'Eingabeblatt 1'!$J$75)^Ergebnis!D72)-('Eingabeblatt 1'!$L$76*(1+'Eingabeblatt 1'!$J$76)^Ergebnis!D72)-('Eingabeblatt 1'!$L$77*(1+'Eingabeblatt 1'!$J$77)^Ergebnis!D72),"")</f>
        <v>-192558.37786545363</v>
      </c>
      <c r="J72" s="67">
        <f>IF(A71&lt;='Eingabeblatt 1'!$D$18,'Eingabeblatt 1'!$D$81*(1+'Eingabeblatt 1'!$J$81)^Ergebnis!D72)</f>
        <v>6100.9501997398356</v>
      </c>
      <c r="K72" s="68">
        <f>IF(A72&lt;='Eingabeblatt 1'!$D$18,'Eingabeblatt 1'!$L$15*(1+'Eingabeblatt 1'!$D$15)^D72,"")</f>
        <v>262934.77716401056</v>
      </c>
      <c r="L72" s="68">
        <f>IF(D72&lt;='Eingabeblatt 1'!$D$18,(SUMIFS('Eingabeblatt 2'!$Q$14:$Q$53,'Eingabeblatt 2'!$E$14:$E$53,Ergebnis!D72)+SUMIFS('Eingabeblatt 2'!$Q$14:$Q$53,'Eingabeblatt 2'!$E$14:$E$53,Ergebnis!D62))*(1+'Eingabeblatt 1'!$J$65)^Ergebnis!D72,"")</f>
        <v>901582.8649012855</v>
      </c>
      <c r="M72" s="373">
        <f>IF(A72&lt;='Eingabeblatt 1'!$D$18,SUM(G72:L72)+E72,"")</f>
        <v>-38717126.666725188</v>
      </c>
      <c r="N72" s="83">
        <f>IF(A72&lt;='Eingabeblatt 1'!$D$18,(E72+G72+H72+I72+J72+K72+L72)/(1+'Eingabeblatt 1'!$D$19)^D72,"")</f>
        <v>-17669991.205115318</v>
      </c>
      <c r="O72" s="419">
        <f>IF(A72&lt;='Eingabeblatt 1'!$D$18,O71+N72,"")</f>
        <v>-66125332.972817443</v>
      </c>
      <c r="P72" s="89"/>
      <c r="Q72" s="89"/>
      <c r="R72" s="93">
        <f>(((40-D72)/40*$Q$52))*('Eingabeblatt 1'!$D$20)+$Q$52/40</f>
        <v>92500.1</v>
      </c>
      <c r="S72" s="93"/>
      <c r="T72" s="93">
        <f>(((30-D72)/30*$S$52))*('Eingabeblatt 1'!$D$20)+$S$52/30</f>
        <v>0</v>
      </c>
      <c r="U72" s="93">
        <f>(SUMIFS('Eingabeblatt 2'!O14:O36,'Eingabeblatt 2'!E14:E36,20))*(1+'Eingabeblatt 1'!J65)^Ergebnis!D72</f>
        <v>15816271.401698666</v>
      </c>
      <c r="V72" s="93">
        <f>(((20-D53)/20*$U$72))*('Eingabeblatt 1'!$D$20)+$U$72/20</f>
        <v>1091322.726717208</v>
      </c>
      <c r="W72" s="93">
        <f>(SUMIFS('Eingabeblatt 2'!O14:O36,'Eingabeblatt 2'!E14:E36,10))*(1+'Eingabeblatt 1'!J65)^Ergebnis!D72</f>
        <v>7020955.0801792201</v>
      </c>
      <c r="X72" s="93">
        <f>(((10-D53)/10*$W$72))*('Eingabeblatt 1'!$D$20)+$W$72/10</f>
        <v>828472.699461148</v>
      </c>
      <c r="Y72" s="97">
        <f t="shared" si="8"/>
        <v>2012295.5261783563</v>
      </c>
      <c r="Z72" s="89"/>
      <c r="AA72" s="89"/>
      <c r="AB72" s="89"/>
      <c r="AC72" s="89"/>
      <c r="AD72" s="90">
        <v>20</v>
      </c>
      <c r="AE72" s="95">
        <f t="shared" si="0"/>
        <v>-66125332.972817443</v>
      </c>
      <c r="AF72" s="95">
        <f t="shared" si="1"/>
        <v>-71115077.474777877</v>
      </c>
      <c r="AG72" s="95">
        <f t="shared" si="5"/>
        <v>-4989744.501960434</v>
      </c>
      <c r="AH72" s="96">
        <f t="shared" si="2"/>
        <v>0</v>
      </c>
      <c r="AI72" s="90"/>
      <c r="AJ72" s="90"/>
      <c r="AK72" s="90">
        <f>IF(AE72&gt;0,IF(SUM(AK52:AK71)=0,AD72,0),0)</f>
        <v>0</v>
      </c>
      <c r="AL72" s="90">
        <f>IF(AF72&gt;0,IF(SUM(AL52:AL71)=0,AD72,0),0)</f>
        <v>0</v>
      </c>
      <c r="AM72" s="89"/>
      <c r="AN72" s="89"/>
      <c r="AO72" s="93">
        <f t="shared" si="3"/>
        <v>-2139076.883826294</v>
      </c>
      <c r="AP72" s="93">
        <f t="shared" si="4"/>
        <v>-2606709.9330784944</v>
      </c>
      <c r="AQ72" s="93">
        <f t="shared" si="6"/>
        <v>467633.04925220041</v>
      </c>
      <c r="AR72" s="89"/>
      <c r="AS72" s="89"/>
      <c r="AT72" s="89"/>
      <c r="AU72" s="89"/>
      <c r="AV72" s="89"/>
      <c r="AW72" s="89"/>
      <c r="AX72" s="89"/>
      <c r="AY72" s="87"/>
      <c r="AZ72" s="87"/>
      <c r="BA72" s="87"/>
      <c r="BB72" s="87"/>
      <c r="BC72" s="87"/>
      <c r="BD72" s="87"/>
      <c r="BE72" s="87"/>
      <c r="BF72" s="87"/>
      <c r="BG72" s="87"/>
      <c r="BH72" s="87"/>
      <c r="BI72" s="87"/>
      <c r="BJ72" s="87"/>
      <c r="BK72" s="87"/>
      <c r="BL72" s="87"/>
      <c r="BM72" s="87"/>
      <c r="BN72" s="87"/>
      <c r="BO72" s="87"/>
      <c r="BP72" s="87"/>
      <c r="BQ72" s="87"/>
      <c r="BR72" s="87"/>
      <c r="BS72" s="87"/>
      <c r="BT72" s="87"/>
      <c r="BU72" s="87"/>
      <c r="BV72" s="87"/>
      <c r="BW72" s="87"/>
      <c r="BX72" s="87"/>
      <c r="BY72" s="87"/>
      <c r="BZ72" s="87"/>
      <c r="CA72" s="87"/>
      <c r="CB72" s="87"/>
      <c r="CC72" s="87"/>
      <c r="CD72" s="87"/>
      <c r="CE72" s="87"/>
      <c r="CF72" s="87"/>
      <c r="CG72" s="87"/>
      <c r="CH72" s="87"/>
      <c r="CI72" s="87"/>
      <c r="CJ72" s="87"/>
      <c r="CK72" s="87"/>
      <c r="CL72" s="87"/>
      <c r="CM72" s="87"/>
      <c r="CN72" s="87"/>
      <c r="CO72" s="87"/>
      <c r="CP72" s="87"/>
      <c r="CQ72" s="87"/>
      <c r="CR72" s="87"/>
      <c r="CS72" s="87"/>
      <c r="CT72" s="87"/>
      <c r="CU72" s="87"/>
      <c r="CV72" s="87"/>
      <c r="CW72" s="87"/>
      <c r="CX72" s="87"/>
    </row>
    <row r="73" spans="1:102" ht="14.25" customHeight="1" x14ac:dyDescent="0.3">
      <c r="A73" s="28">
        <v>21</v>
      </c>
      <c r="C73" s="62">
        <f>IF(A73&lt;='Eingabeblatt 1'!$D$18,C72+1,"")</f>
        <v>2039</v>
      </c>
      <c r="D73" s="63">
        <f>IF(A73&lt;='Eingabeblatt 1'!$D$18,D72+1,"")</f>
        <v>21</v>
      </c>
      <c r="E73" s="64">
        <f>IF(A73&lt;='Eingabeblatt 1'!$D$18,IF(D73='Eingabeblatt 1'!$D$65,-'Eingabeblatt 1'!$L$65*(1+'Eingabeblatt 1'!$J$65)^D73,IF(D73='Eingabeblatt 1'!$D$66,-'Eingabeblatt 1'!$L$66*(1+'Eingabeblatt 1'!$J$66)^D73,IF(D73='Eingabeblatt 1'!$D$67,-'Eingabeblatt 1'!$L$67*(1+'Eingabeblatt 1'!$J$67)^D73,0))),"")</f>
        <v>0</v>
      </c>
      <c r="F73" s="64">
        <f t="shared" si="7"/>
        <v>-1981115.9146162989</v>
      </c>
      <c r="G73" s="65">
        <f>IF(A73&lt;='Eingabeblatt 1'!$D$18,IF(D73='Eingabeblatt 1'!$D$72,-('Eingabeblatt 1'!$L$71+'Eingabeblatt 1'!$L$72)*(1+'Eingabeblatt 1'!$J$71)^Ergebnis!D73,-('Eingabeblatt 1'!$L$71)*(1+'Eingabeblatt 1'!$J$71)^Ergebnis!D73),"")</f>
        <v>-636579.8644371269</v>
      </c>
      <c r="H73" s="66">
        <f>IF(A73&lt;='Eingabeblatt 1'!$D$18,H72*(1+'Eingabeblatt 1'!$J$73),"")</f>
        <v>-491560.39821568521</v>
      </c>
      <c r="I73" s="66">
        <f>IF(A73&lt;='Eingabeblatt 1'!$D$18,(-'Eingabeblatt 1'!$L$75*(1+'Eingabeblatt 1'!$J$75)^Ergebnis!D73)-('Eingabeblatt 1'!$L$76*(1+'Eingabeblatt 1'!$J$76)^Ergebnis!D73)-('Eingabeblatt 1'!$L$77*(1+'Eingabeblatt 1'!$J$77)^Ergebnis!D73),"")</f>
        <v>-193540.98564102963</v>
      </c>
      <c r="J73" s="67">
        <f>IF(A72&lt;='Eingabeblatt 1'!$D$18,'Eingabeblatt 1'!$D$81*(1+'Eingabeblatt 1'!$J$81)^Ergebnis!D73)</f>
        <v>6161.9597017372325</v>
      </c>
      <c r="K73" s="68">
        <f>IF(A73&lt;='Eingabeblatt 1'!$D$18,'Eingabeblatt 1'!$L$15*(1+'Eingabeblatt 1'!$D$15)^D73,"")</f>
        <v>273452.16825057106</v>
      </c>
      <c r="L73" s="68">
        <f>IF(D73&lt;='Eingabeblatt 1'!$D$18,(SUMIFS('Eingabeblatt 2'!$Q$14:$Q$53,'Eingabeblatt 2'!$E$14:$E$53,Ergebnis!D73))*(1+'Eingabeblatt 1'!$J$65)^Ergebnis!D73,"")</f>
        <v>0</v>
      </c>
      <c r="M73" s="373">
        <f>IF(A73&lt;='Eingabeblatt 1'!$D$18,SUM(G73:L73)+E73,"")</f>
        <v>-1042067.1203415336</v>
      </c>
      <c r="N73" s="83">
        <f>IF(A73&lt;='Eingabeblatt 1'!$D$18,(E73+G73+H73+I73+J73+K73+L73)/(1+'Eingabeblatt 1'!$D$19)^D73,"")</f>
        <v>-457294.06806677568</v>
      </c>
      <c r="O73" s="419">
        <f>IF(A73&lt;='Eingabeblatt 1'!$D$18,O72+N73,"")</f>
        <v>-66582627.040884219</v>
      </c>
      <c r="P73" s="89"/>
      <c r="Q73" s="89"/>
      <c r="R73" s="93">
        <f>(((40-D73)/40*$Q$52))*('Eingabeblatt 1'!$D$20)+$Q$52/40</f>
        <v>91178.67</v>
      </c>
      <c r="S73" s="93"/>
      <c r="T73" s="93">
        <f>(((30-D73)/30*$S$52))*('Eingabeblatt 1'!$D$20)+$S$52/30</f>
        <v>0</v>
      </c>
      <c r="U73" s="89"/>
      <c r="V73" s="93">
        <f>(((20-D54)/20*$U$72))*('Eingabeblatt 1'!$D$20)+$U$72/20</f>
        <v>1075506.4553155093</v>
      </c>
      <c r="W73" s="93"/>
      <c r="X73" s="93">
        <f>(((10-D54)/10*$W$72))*('Eingabeblatt 1'!$D$20)+$W$72/10</f>
        <v>814430.78930078959</v>
      </c>
      <c r="Y73" s="97">
        <f t="shared" si="8"/>
        <v>1981115.9146162989</v>
      </c>
      <c r="Z73" s="89"/>
      <c r="AA73" s="89"/>
      <c r="AB73" s="89"/>
      <c r="AC73" s="89"/>
      <c r="AD73" s="90">
        <v>21</v>
      </c>
      <c r="AE73" s="95">
        <f t="shared" si="0"/>
        <v>-66582627.040884219</v>
      </c>
      <c r="AF73" s="95">
        <f t="shared" si="1"/>
        <v>-71704281.682485282</v>
      </c>
      <c r="AG73" s="95">
        <f t="shared" si="5"/>
        <v>-5121654.6416010633</v>
      </c>
      <c r="AH73" s="96">
        <f t="shared" si="2"/>
        <v>0</v>
      </c>
      <c r="AI73" s="90"/>
      <c r="AJ73" s="90"/>
      <c r="AK73" s="90">
        <f>IF(AE73&gt;0,IF(SUM(AK52:AK72)=0,AD73,0),0)</f>
        <v>0</v>
      </c>
      <c r="AL73" s="90">
        <f>IF(AF73&gt;0,IF(SUM(AL52:AL72)=0,AD73,0),0)</f>
        <v>0</v>
      </c>
      <c r="AM73" s="89"/>
      <c r="AN73" s="89"/>
      <c r="AO73" s="93">
        <f t="shared" si="3"/>
        <v>-3023183.0349578322</v>
      </c>
      <c r="AP73" s="93">
        <f t="shared" si="4"/>
        <v>-2766307.2744995737</v>
      </c>
      <c r="AQ73" s="93">
        <f t="shared" si="6"/>
        <v>-256875.76045825845</v>
      </c>
      <c r="AR73" s="89"/>
      <c r="AS73" s="89"/>
      <c r="AT73" s="89"/>
      <c r="AU73" s="89"/>
      <c r="AV73" s="89"/>
      <c r="AW73" s="89"/>
      <c r="AX73" s="89"/>
      <c r="AY73" s="87"/>
      <c r="AZ73" s="87"/>
      <c r="BA73" s="87"/>
      <c r="BB73" s="87"/>
      <c r="BC73" s="87"/>
      <c r="BD73" s="87"/>
      <c r="BE73" s="87"/>
      <c r="BF73" s="87"/>
      <c r="BG73" s="87"/>
      <c r="BH73" s="87"/>
      <c r="BI73" s="87"/>
      <c r="BJ73" s="87"/>
      <c r="BK73" s="87"/>
      <c r="BL73" s="87"/>
      <c r="BM73" s="87"/>
      <c r="BN73" s="87"/>
      <c r="BO73" s="87"/>
      <c r="BP73" s="87"/>
      <c r="BQ73" s="87"/>
      <c r="BR73" s="87"/>
      <c r="BS73" s="87"/>
      <c r="BT73" s="87"/>
      <c r="BU73" s="87"/>
      <c r="BV73" s="87"/>
      <c r="BW73" s="87"/>
      <c r="BX73" s="87"/>
      <c r="BY73" s="87"/>
      <c r="BZ73" s="87"/>
      <c r="CA73" s="87"/>
      <c r="CB73" s="87"/>
      <c r="CC73" s="87"/>
      <c r="CD73" s="87"/>
      <c r="CE73" s="87"/>
      <c r="CF73" s="87"/>
      <c r="CG73" s="87"/>
      <c r="CH73" s="87"/>
      <c r="CI73" s="87"/>
      <c r="CJ73" s="87"/>
      <c r="CK73" s="87"/>
      <c r="CL73" s="87"/>
      <c r="CM73" s="87"/>
      <c r="CN73" s="87"/>
      <c r="CO73" s="87"/>
      <c r="CP73" s="87"/>
      <c r="CQ73" s="87"/>
      <c r="CR73" s="87"/>
      <c r="CS73" s="87"/>
      <c r="CT73" s="87"/>
      <c r="CU73" s="87"/>
      <c r="CV73" s="87"/>
      <c r="CW73" s="87"/>
      <c r="CX73" s="87"/>
    </row>
    <row r="74" spans="1:102" ht="14.25" customHeight="1" x14ac:dyDescent="0.3">
      <c r="A74" s="28">
        <v>22</v>
      </c>
      <c r="C74" s="62">
        <f>IF(A74&lt;='Eingabeblatt 1'!$D$18,C73+1,"")</f>
        <v>2040</v>
      </c>
      <c r="D74" s="63">
        <f>IF(A74&lt;='Eingabeblatt 1'!$D$18,D73+1,"")</f>
        <v>22</v>
      </c>
      <c r="E74" s="64">
        <f>IF(A74&lt;='Eingabeblatt 1'!$D$18,IF(D74='Eingabeblatt 1'!$D$65,-'Eingabeblatt 1'!$L$65*(1+'Eingabeblatt 1'!$J$65)^D74,IF(D74='Eingabeblatt 1'!$D$66,-'Eingabeblatt 1'!$L$66*(1+'Eingabeblatt 1'!$J$66)^D74,IF(D74='Eingabeblatt 1'!$D$67,-'Eingabeblatt 1'!$L$67*(1+'Eingabeblatt 1'!$J$67)^D74,0))),"")</f>
        <v>0</v>
      </c>
      <c r="F74" s="64">
        <f t="shared" si="7"/>
        <v>-1949936.3030542419</v>
      </c>
      <c r="G74" s="65">
        <f>IF(A74&lt;='Eingabeblatt 1'!$D$18,IF(D74='Eingabeblatt 1'!$D$72,-('Eingabeblatt 1'!$L$71+'Eingabeblatt 1'!$L$72)*(1+'Eingabeblatt 1'!$J$71)^Ergebnis!D74,-('Eingabeblatt 1'!$L$71)*(1+'Eingabeblatt 1'!$J$71)^Ergebnis!D74),"")</f>
        <v>-649311.46172586945</v>
      </c>
      <c r="H74" s="66">
        <f>IF(A74&lt;='Eingabeblatt 1'!$D$18,H73*(1+'Eingabeblatt 1'!$J$73),"")</f>
        <v>-502620.50717553811</v>
      </c>
      <c r="I74" s="66">
        <f>IF(A74&lt;='Eingabeblatt 1'!$D$18,(-'Eingabeblatt 1'!$L$75*(1+'Eingabeblatt 1'!$J$75)^Ergebnis!D74)-('Eingabeblatt 1'!$L$76*(1+'Eingabeblatt 1'!$J$76)^Ergebnis!D74)-('Eingabeblatt 1'!$L$77*(1+'Eingabeblatt 1'!$J$77)^Ergebnis!D74),"")</f>
        <v>-194528.70461434597</v>
      </c>
      <c r="J74" s="67">
        <f>IF(A73&lt;='Eingabeblatt 1'!$D$18,'Eingabeblatt 1'!$D$81*(1+'Eingabeblatt 1'!$J$81)^Ergebnis!D74)</f>
        <v>6223.5792987546065</v>
      </c>
      <c r="K74" s="68">
        <f>IF(A74&lt;='Eingabeblatt 1'!$D$18,'Eingabeblatt 1'!$L$15*(1+'Eingabeblatt 1'!$D$15)^D74,"")</f>
        <v>284390.25498059386</v>
      </c>
      <c r="L74" s="68">
        <f>IF(D74&lt;='Eingabeblatt 1'!$D$18,(SUMIFS('Eingabeblatt 2'!$Q$14:$Q$53,'Eingabeblatt 2'!$E$14:$E$53,Ergebnis!D74))*(1+'Eingabeblatt 1'!$J$65)^Ergebnis!D74,"")</f>
        <v>0</v>
      </c>
      <c r="M74" s="373">
        <f>IF(A74&lt;='Eingabeblatt 1'!$D$18,SUM(G74:L74)+E74,"")</f>
        <v>-1055846.8392364047</v>
      </c>
      <c r="N74" s="83">
        <f>IF(A74&lt;='Eingabeblatt 1'!$D$18,(E74+G74+H74+I74+J74+K74+L74)/(1+'Eingabeblatt 1'!$D$19)^D74,"")</f>
        <v>-445520.26129381399</v>
      </c>
      <c r="O74" s="419">
        <f>IF(A74&lt;='Eingabeblatt 1'!$D$18,O73+N74,"")</f>
        <v>-67028147.302178033</v>
      </c>
      <c r="P74" s="89"/>
      <c r="Q74" s="89"/>
      <c r="R74" s="93">
        <f>(((40-D74)/40*$Q$52))*('Eingabeblatt 1'!$D$20)+$Q$52/40</f>
        <v>89857.24</v>
      </c>
      <c r="S74" s="93"/>
      <c r="T74" s="93">
        <f>(((30-D74)/30*$S$52))*('Eingabeblatt 1'!$D$20)+$S$52/30</f>
        <v>0</v>
      </c>
      <c r="U74" s="93"/>
      <c r="V74" s="93">
        <f>(((20-D55)/20*$U$72))*('Eingabeblatt 1'!$D$20)+$U$72/20</f>
        <v>1059690.1839138106</v>
      </c>
      <c r="W74" s="93"/>
      <c r="X74" s="93">
        <f>(((10-D55)/10*$W$72))*('Eingabeblatt 1'!$D$20)+$W$72/10</f>
        <v>800388.87914043118</v>
      </c>
      <c r="Y74" s="97">
        <f t="shared" si="8"/>
        <v>1949936.3030542419</v>
      </c>
      <c r="Z74" s="89"/>
      <c r="AA74" s="89"/>
      <c r="AB74" s="89"/>
      <c r="AC74" s="89"/>
      <c r="AD74" s="90">
        <v>22</v>
      </c>
      <c r="AE74" s="95">
        <f t="shared" si="0"/>
        <v>-67028147.302178033</v>
      </c>
      <c r="AF74" s="95">
        <f t="shared" si="1"/>
        <v>-72281301.20050253</v>
      </c>
      <c r="AG74" s="95">
        <f t="shared" si="5"/>
        <v>-5253153.898324497</v>
      </c>
      <c r="AH74" s="96">
        <f t="shared" si="2"/>
        <v>0</v>
      </c>
      <c r="AI74" s="90"/>
      <c r="AJ74" s="90"/>
      <c r="AK74" s="90">
        <f>IF(AE74&gt;0,IF(SUM(AK52:AK73)=0,AD74,0),0)</f>
        <v>0</v>
      </c>
      <c r="AL74" s="90">
        <f>IF(AF74&gt;0,IF(SUM(AL52:AL73)=0,AD74,0),0)</f>
        <v>0</v>
      </c>
      <c r="AM74" s="89"/>
      <c r="AN74" s="89"/>
      <c r="AO74" s="93">
        <f t="shared" si="3"/>
        <v>-3005783.1422906471</v>
      </c>
      <c r="AP74" s="93">
        <f t="shared" si="4"/>
        <v>-2768466.4588142126</v>
      </c>
      <c r="AQ74" s="93">
        <f t="shared" si="6"/>
        <v>-237316.68347643455</v>
      </c>
      <c r="AR74" s="89"/>
      <c r="AS74" s="89"/>
      <c r="AT74" s="89"/>
      <c r="AU74" s="89"/>
      <c r="AV74" s="89"/>
      <c r="AW74" s="89"/>
      <c r="AX74" s="89"/>
      <c r="AY74" s="87"/>
      <c r="AZ74" s="87"/>
      <c r="BA74" s="87"/>
      <c r="BB74" s="87"/>
      <c r="BC74" s="87"/>
      <c r="BD74" s="87"/>
      <c r="BE74" s="87"/>
      <c r="BF74" s="87"/>
      <c r="BG74" s="87"/>
      <c r="BH74" s="87"/>
      <c r="BI74" s="87"/>
      <c r="BJ74" s="87"/>
      <c r="BK74" s="87"/>
      <c r="BL74" s="87"/>
      <c r="BM74" s="87"/>
      <c r="BN74" s="87"/>
      <c r="BO74" s="87"/>
      <c r="BP74" s="87"/>
      <c r="BQ74" s="87"/>
      <c r="BR74" s="87"/>
      <c r="BS74" s="87"/>
      <c r="BT74" s="87"/>
      <c r="BU74" s="87"/>
      <c r="BV74" s="87"/>
      <c r="BW74" s="87"/>
      <c r="BX74" s="87"/>
      <c r="BY74" s="87"/>
      <c r="BZ74" s="87"/>
      <c r="CA74" s="87"/>
      <c r="CB74" s="87"/>
      <c r="CC74" s="87"/>
      <c r="CD74" s="87"/>
      <c r="CE74" s="87"/>
      <c r="CF74" s="87"/>
      <c r="CG74" s="87"/>
      <c r="CH74" s="87"/>
      <c r="CI74" s="87"/>
      <c r="CJ74" s="87"/>
      <c r="CK74" s="87"/>
      <c r="CL74" s="87"/>
      <c r="CM74" s="87"/>
      <c r="CN74" s="87"/>
      <c r="CO74" s="87"/>
      <c r="CP74" s="87"/>
      <c r="CQ74" s="87"/>
      <c r="CR74" s="87"/>
      <c r="CS74" s="87"/>
      <c r="CT74" s="87"/>
      <c r="CU74" s="87"/>
      <c r="CV74" s="87"/>
      <c r="CW74" s="87"/>
      <c r="CX74" s="87"/>
    </row>
    <row r="75" spans="1:102" ht="14.25" customHeight="1" x14ac:dyDescent="0.3">
      <c r="A75" s="28">
        <v>23</v>
      </c>
      <c r="C75" s="62">
        <f>IF(A75&lt;='Eingabeblatt 1'!$D$18,C74+1,"")</f>
        <v>2041</v>
      </c>
      <c r="D75" s="63">
        <f>IF(A75&lt;='Eingabeblatt 1'!$D$18,D74+1,"")</f>
        <v>23</v>
      </c>
      <c r="E75" s="64">
        <f>IF(A75&lt;='Eingabeblatt 1'!$D$18,IF(D75='Eingabeblatt 1'!$D$65,-'Eingabeblatt 1'!$L$65*(1+'Eingabeblatt 1'!$J$65)^D75,IF(D75='Eingabeblatt 1'!$D$66,-'Eingabeblatt 1'!$L$66*(1+'Eingabeblatt 1'!$J$66)^D75,IF(D75='Eingabeblatt 1'!$D$67,-'Eingabeblatt 1'!$L$67*(1+'Eingabeblatt 1'!$J$67)^D75,0))),"")</f>
        <v>0</v>
      </c>
      <c r="F75" s="64">
        <f t="shared" si="7"/>
        <v>-1918756.6914921845</v>
      </c>
      <c r="G75" s="65">
        <f>IF(A75&lt;='Eingabeblatt 1'!$D$18,IF(D75='Eingabeblatt 1'!$D$72,-('Eingabeblatt 1'!$L$71+'Eingabeblatt 1'!$L$72)*(1+'Eingabeblatt 1'!$J$71)^Ergebnis!D75,-('Eingabeblatt 1'!$L$71)*(1+'Eingabeblatt 1'!$J$71)^Ergebnis!D75),"")</f>
        <v>-662297.69096038677</v>
      </c>
      <c r="H75" s="66">
        <f>IF(A75&lt;='Eingabeblatt 1'!$D$18,H74*(1+'Eingabeblatt 1'!$J$73),"")</f>
        <v>-513929.4685869877</v>
      </c>
      <c r="I75" s="66">
        <f>IF(A75&lt;='Eingabeblatt 1'!$D$18,(-'Eingabeblatt 1'!$L$75*(1+'Eingabeblatt 1'!$J$75)^Ergebnis!D75)-('Eingabeblatt 1'!$L$76*(1+'Eingabeblatt 1'!$J$76)^Ergebnis!D75)-('Eingabeblatt 1'!$L$77*(1+'Eingabeblatt 1'!$J$77)^Ergebnis!D75),"")</f>
        <v>-195521.56232298</v>
      </c>
      <c r="J75" s="67">
        <f>IF(A74&lt;='Eingabeblatt 1'!$D$18,'Eingabeblatt 1'!$D$81*(1+'Eingabeblatt 1'!$J$81)^Ergebnis!D75)</f>
        <v>6285.8150917421517</v>
      </c>
      <c r="K75" s="68">
        <f>IF(A75&lt;='Eingabeblatt 1'!$D$18,'Eingabeblatt 1'!$L$15*(1+'Eingabeblatt 1'!$D$15)^D75,"")</f>
        <v>295765.8651798176</v>
      </c>
      <c r="L75" s="68">
        <f>IF(D75&lt;='Eingabeblatt 1'!$D$18,(SUMIFS('Eingabeblatt 2'!$Q$14:$Q$53,'Eingabeblatt 2'!$E$14:$E$53,Ergebnis!D75))*(1+'Eingabeblatt 1'!$J$65)^Ergebnis!D75,"")</f>
        <v>0</v>
      </c>
      <c r="M75" s="373">
        <f>IF(A75&lt;='Eingabeblatt 1'!$D$18,SUM(G75:L75)+E75,"")</f>
        <v>-1069697.0415987947</v>
      </c>
      <c r="N75" s="83">
        <f>IF(A75&lt;='Eingabeblatt 1'!$D$18,(E75+G75+H75+I75+J75+K75+L75)/(1+'Eingabeblatt 1'!$D$19)^D75,"")</f>
        <v>-434004.25844887056</v>
      </c>
      <c r="O75" s="419">
        <f>IF(A75&lt;='Eingabeblatt 1'!$D$18,O74+N75,"")</f>
        <v>-67462151.560626909</v>
      </c>
      <c r="P75" s="89"/>
      <c r="Q75" s="89"/>
      <c r="R75" s="93">
        <f>(((40-D75)/40*$Q$52))*('Eingabeblatt 1'!$D$20)+$Q$52/40</f>
        <v>88535.81</v>
      </c>
      <c r="S75" s="93"/>
      <c r="T75" s="93">
        <f>(((30-D75)/30*$S$52))*('Eingabeblatt 1'!$D$20)+$S$52/30</f>
        <v>0</v>
      </c>
      <c r="U75" s="93"/>
      <c r="V75" s="93">
        <f>(((20-D56)/20*$U$72))*('Eingabeblatt 1'!$D$20)+$U$72/20</f>
        <v>1043873.9125121119</v>
      </c>
      <c r="W75" s="93"/>
      <c r="X75" s="93">
        <f>(((10-D56)/10*$W$72))*('Eingabeblatt 1'!$D$20)+$W$72/10</f>
        <v>786346.96898007265</v>
      </c>
      <c r="Y75" s="97">
        <f t="shared" si="8"/>
        <v>1918756.6914921845</v>
      </c>
      <c r="Z75" s="89"/>
      <c r="AA75" s="89"/>
      <c r="AB75" s="89"/>
      <c r="AC75" s="89"/>
      <c r="AD75" s="90">
        <v>23</v>
      </c>
      <c r="AE75" s="95">
        <f t="shared" si="0"/>
        <v>-67462151.560626909</v>
      </c>
      <c r="AF75" s="95">
        <f t="shared" si="1"/>
        <v>-72846406.341311976</v>
      </c>
      <c r="AG75" s="95">
        <f t="shared" si="5"/>
        <v>-5384254.7806850672</v>
      </c>
      <c r="AH75" s="96">
        <f t="shared" si="2"/>
        <v>0</v>
      </c>
      <c r="AI75" s="90"/>
      <c r="AJ75" s="90"/>
      <c r="AK75" s="90">
        <f>IF(AE75&gt;0,IF(SUM(AK52:AK74)=0,AD75,0),0)</f>
        <v>0</v>
      </c>
      <c r="AL75" s="90">
        <f>IF(AF75&gt;0,IF(SUM(AL52:AL74)=0,AD75,0),0)</f>
        <v>0</v>
      </c>
      <c r="AM75" s="89"/>
      <c r="AN75" s="89"/>
      <c r="AO75" s="93">
        <f t="shared" si="3"/>
        <v>-2988453.733090979</v>
      </c>
      <c r="AP75" s="93">
        <f t="shared" si="4"/>
        <v>-2771130.0040755775</v>
      </c>
      <c r="AQ75" s="93">
        <f t="shared" si="6"/>
        <v>-217323.72901540156</v>
      </c>
      <c r="AR75" s="89"/>
      <c r="AS75" s="89"/>
      <c r="AT75" s="89"/>
      <c r="AU75" s="89"/>
      <c r="AV75" s="89"/>
      <c r="AW75" s="89"/>
      <c r="AX75" s="89"/>
      <c r="AY75" s="87"/>
      <c r="AZ75" s="87"/>
      <c r="BA75" s="87"/>
      <c r="BB75" s="87"/>
      <c r="BC75" s="87"/>
      <c r="BD75" s="87"/>
      <c r="BE75" s="87"/>
      <c r="BF75" s="87"/>
      <c r="BG75" s="87"/>
      <c r="BH75" s="87"/>
      <c r="BI75" s="87"/>
      <c r="BJ75" s="87"/>
      <c r="BK75" s="87"/>
      <c r="BL75" s="87"/>
      <c r="BM75" s="87"/>
      <c r="BN75" s="87"/>
      <c r="BO75" s="87"/>
      <c r="BP75" s="87"/>
      <c r="BQ75" s="87"/>
      <c r="BR75" s="87"/>
      <c r="BS75" s="87"/>
      <c r="BT75" s="87"/>
      <c r="BU75" s="87"/>
      <c r="BV75" s="87"/>
      <c r="BW75" s="87"/>
      <c r="BX75" s="87"/>
      <c r="BY75" s="87"/>
      <c r="BZ75" s="87"/>
      <c r="CA75" s="87"/>
      <c r="CB75" s="87"/>
      <c r="CC75" s="87"/>
      <c r="CD75" s="87"/>
      <c r="CE75" s="87"/>
      <c r="CF75" s="87"/>
      <c r="CG75" s="87"/>
      <c r="CH75" s="87"/>
      <c r="CI75" s="87"/>
      <c r="CJ75" s="87"/>
      <c r="CK75" s="87"/>
      <c r="CL75" s="87"/>
      <c r="CM75" s="87"/>
      <c r="CN75" s="87"/>
      <c r="CO75" s="87"/>
      <c r="CP75" s="87"/>
      <c r="CQ75" s="87"/>
      <c r="CR75" s="87"/>
      <c r="CS75" s="87"/>
      <c r="CT75" s="87"/>
      <c r="CU75" s="87"/>
      <c r="CV75" s="87"/>
      <c r="CW75" s="87"/>
      <c r="CX75" s="87"/>
    </row>
    <row r="76" spans="1:102" ht="14.25" customHeight="1" x14ac:dyDescent="0.3">
      <c r="A76" s="28">
        <v>24</v>
      </c>
      <c r="C76" s="62">
        <f>IF(A76&lt;='Eingabeblatt 1'!$D$18,C75+1,"")</f>
        <v>2042</v>
      </c>
      <c r="D76" s="63">
        <f>IF(A76&lt;='Eingabeblatt 1'!$D$18,D75+1,"")</f>
        <v>24</v>
      </c>
      <c r="E76" s="64">
        <f>IF(A76&lt;='Eingabeblatt 1'!$D$18,IF(D76='Eingabeblatt 1'!$D$65,-'Eingabeblatt 1'!$L$65*(1+'Eingabeblatt 1'!$J$65)^D76,IF(D76='Eingabeblatt 1'!$D$66,-'Eingabeblatt 1'!$L$66*(1+'Eingabeblatt 1'!$J$66)^D76,IF(D76='Eingabeblatt 1'!$D$67,-'Eingabeblatt 1'!$L$67*(1+'Eingabeblatt 1'!$J$67)^D76,0))),"")</f>
        <v>0</v>
      </c>
      <c r="F76" s="64">
        <f t="shared" si="7"/>
        <v>-1887577.0799301274</v>
      </c>
      <c r="G76" s="65">
        <f>IF(A76&lt;='Eingabeblatt 1'!$D$18,IF(D76='Eingabeblatt 1'!$D$72,-('Eingabeblatt 1'!$L$71+'Eingabeblatt 1'!$L$72)*(1+'Eingabeblatt 1'!$J$71)^Ergebnis!D76,-('Eingabeblatt 1'!$L$71)*(1+'Eingabeblatt 1'!$J$71)^Ergebnis!D76),"")</f>
        <v>-675543.6447795945</v>
      </c>
      <c r="H76" s="66">
        <f>IF(A76&lt;='Eingabeblatt 1'!$D$18,H75*(1+'Eingabeblatt 1'!$J$73),"")</f>
        <v>-525492.88163019496</v>
      </c>
      <c r="I76" s="66">
        <f>IF(A76&lt;='Eingabeblatt 1'!$D$18,(-'Eingabeblatt 1'!$L$75*(1+'Eingabeblatt 1'!$J$75)^Ergebnis!D76)-('Eingabeblatt 1'!$L$76*(1+'Eingabeblatt 1'!$J$76)^Ergebnis!D76)-('Eingabeblatt 1'!$L$77*(1+'Eingabeblatt 1'!$J$77)^Ergebnis!D76),"")</f>
        <v>-196519.58646201293</v>
      </c>
      <c r="J76" s="67">
        <f>IF(A75&lt;='Eingabeblatt 1'!$D$18,'Eingabeblatt 1'!$D$81*(1+'Eingabeblatt 1'!$J$81)^Ergebnis!D76)</f>
        <v>6348.6732426595745</v>
      </c>
      <c r="K76" s="68">
        <f>IF(A76&lt;='Eingabeblatt 1'!$D$18,'Eingabeblatt 1'!$L$15*(1+'Eingabeblatt 1'!$D$15)^D76,"")</f>
        <v>307596.49978701031</v>
      </c>
      <c r="L76" s="68">
        <f>IF(D76&lt;='Eingabeblatt 1'!$D$18,(SUMIFS('Eingabeblatt 2'!$Q$14:$Q$53,'Eingabeblatt 2'!$E$14:$E$53,Ergebnis!D76))*(1+'Eingabeblatt 1'!$J$65)^Ergebnis!D76,"")</f>
        <v>0</v>
      </c>
      <c r="M76" s="373">
        <f>IF(A76&lt;='Eingabeblatt 1'!$D$18,SUM(G76:L76)+E76,"")</f>
        <v>-1083610.9398421326</v>
      </c>
      <c r="N76" s="83">
        <f>IF(A76&lt;='Eingabeblatt 1'!$D$18,(E76+G76+H76+I76+J76+K76+L76)/(1+'Eingabeblatt 1'!$D$19)^D76,"")</f>
        <v>-422739.89746663289</v>
      </c>
      <c r="O76" s="419">
        <f>IF(A76&lt;='Eingabeblatt 1'!$D$18,O75+N76,"")</f>
        <v>-67884891.458093539</v>
      </c>
      <c r="P76" s="89"/>
      <c r="Q76" s="89"/>
      <c r="R76" s="93">
        <f>(((40-D76)/40*$Q$52))*('Eingabeblatt 1'!$D$20)+$Q$52/40</f>
        <v>87214.38</v>
      </c>
      <c r="S76" s="93"/>
      <c r="T76" s="93">
        <f>(((30-D76)/30*$S$52))*('Eingabeblatt 1'!$D$20)+$S$52/30</f>
        <v>0</v>
      </c>
      <c r="U76" s="93"/>
      <c r="V76" s="93">
        <f>(((20-D57)/20*$U$72))*('Eingabeblatt 1'!$D$20)+$U$72/20</f>
        <v>1028057.6411104132</v>
      </c>
      <c r="W76" s="93"/>
      <c r="X76" s="93">
        <f>(((10-D57)/10*$W$72))*('Eingabeblatt 1'!$D$20)+$W$72/10</f>
        <v>772305.05881971424</v>
      </c>
      <c r="Y76" s="97">
        <f t="shared" si="8"/>
        <v>1887577.0799301274</v>
      </c>
      <c r="Z76" s="89"/>
      <c r="AA76" s="89"/>
      <c r="AB76" s="89"/>
      <c r="AC76" s="89"/>
      <c r="AD76" s="90">
        <v>24</v>
      </c>
      <c r="AE76" s="95">
        <f t="shared" si="0"/>
        <v>-67884891.458093539</v>
      </c>
      <c r="AF76" s="95">
        <f t="shared" si="1"/>
        <v>-73399860.915028229</v>
      </c>
      <c r="AG76" s="95">
        <f t="shared" si="5"/>
        <v>-5514969.4569346905</v>
      </c>
      <c r="AH76" s="96">
        <f t="shared" si="2"/>
        <v>0</v>
      </c>
      <c r="AI76" s="90"/>
      <c r="AJ76" s="90"/>
      <c r="AK76" s="90">
        <f>IF(AE76&gt;0,IF(SUM(AK52:AK75)=0,AD76,0),0)</f>
        <v>0</v>
      </c>
      <c r="AL76" s="90">
        <f>IF(AF76&gt;0,IF(SUM(AL52:AL75)=0,AD76,0),0)</f>
        <v>0</v>
      </c>
      <c r="AM76" s="89"/>
      <c r="AN76" s="89"/>
      <c r="AO76" s="93">
        <f t="shared" si="3"/>
        <v>-2971188.0197722595</v>
      </c>
      <c r="AP76" s="93">
        <f t="shared" si="4"/>
        <v>-2774308.5138852438</v>
      </c>
      <c r="AQ76" s="93">
        <f t="shared" si="6"/>
        <v>-196879.50588701572</v>
      </c>
      <c r="AR76" s="89"/>
      <c r="AS76" s="89"/>
      <c r="AT76" s="89"/>
      <c r="AU76" s="89"/>
      <c r="AV76" s="89"/>
      <c r="AW76" s="89"/>
      <c r="AX76" s="89"/>
      <c r="AY76" s="87"/>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87"/>
      <c r="CG76" s="87"/>
      <c r="CH76" s="87"/>
      <c r="CI76" s="87"/>
      <c r="CJ76" s="87"/>
      <c r="CK76" s="87"/>
      <c r="CL76" s="87"/>
      <c r="CM76" s="87"/>
      <c r="CN76" s="87"/>
      <c r="CO76" s="87"/>
      <c r="CP76" s="87"/>
      <c r="CQ76" s="87"/>
      <c r="CR76" s="87"/>
      <c r="CS76" s="87"/>
      <c r="CT76" s="87"/>
      <c r="CU76" s="87"/>
      <c r="CV76" s="87"/>
      <c r="CW76" s="87"/>
      <c r="CX76" s="87"/>
    </row>
    <row r="77" spans="1:102" ht="14.25" customHeight="1" x14ac:dyDescent="0.3">
      <c r="A77" s="28">
        <v>25</v>
      </c>
      <c r="C77" s="62">
        <f>IF(A77&lt;='Eingabeblatt 1'!$D$18,C76+1,"")</f>
        <v>2043</v>
      </c>
      <c r="D77" s="63">
        <f>IF(A77&lt;='Eingabeblatt 1'!$D$18,D76+1,"")</f>
        <v>25</v>
      </c>
      <c r="E77" s="64">
        <f>IF(A77&lt;='Eingabeblatt 1'!$D$18,IF(D77='Eingabeblatt 1'!$D$65,-'Eingabeblatt 1'!$L$65*(1+'Eingabeblatt 1'!$J$65)^D77,IF(D77='Eingabeblatt 1'!$D$66,-'Eingabeblatt 1'!$L$66*(1+'Eingabeblatt 1'!$J$66)^D77,IF(D77='Eingabeblatt 1'!$D$67,-'Eingabeblatt 1'!$L$67*(1+'Eingabeblatt 1'!$J$67)^D77,0))),"")</f>
        <v>0</v>
      </c>
      <c r="F77" s="64">
        <f t="shared" si="7"/>
        <v>-1856397.4683680702</v>
      </c>
      <c r="G77" s="65">
        <f>IF(A77&lt;='Eingabeblatt 1'!$D$18,IF(D77='Eingabeblatt 1'!$D$72,-('Eingabeblatt 1'!$L$71+'Eingabeblatt 1'!$L$72)*(1+'Eingabeblatt 1'!$J$71)^Ergebnis!D77,-('Eingabeblatt 1'!$L$71)*(1+'Eingabeblatt 1'!$J$71)^Ergebnis!D77),"")</f>
        <v>-689054.51767518639</v>
      </c>
      <c r="H77" s="66">
        <f>IF(A77&lt;='Eingabeblatt 1'!$D$18,H76*(1+'Eingabeblatt 1'!$J$73),"")</f>
        <v>-537316.47146687435</v>
      </c>
      <c r="I77" s="66">
        <f>IF(A77&lt;='Eingabeblatt 1'!$D$18,(-'Eingabeblatt 1'!$L$75*(1+'Eingabeblatt 1'!$J$75)^Ergebnis!D77)-('Eingabeblatt 1'!$L$76*(1+'Eingabeblatt 1'!$J$76)^Ergebnis!D77)-('Eingabeblatt 1'!$L$77*(1+'Eingabeblatt 1'!$J$77)^Ergebnis!D77),"")</f>
        <v>-197522.8048850151</v>
      </c>
      <c r="J77" s="67">
        <f>IF(A76&lt;='Eingabeblatt 1'!$D$18,'Eingabeblatt 1'!$D$81*(1+'Eingabeblatt 1'!$J$81)^Ergebnis!D77)</f>
        <v>6412.1599750861715</v>
      </c>
      <c r="K77" s="68">
        <f>IF(A77&lt;='Eingabeblatt 1'!$D$18,'Eingabeblatt 1'!$L$15*(1+'Eingabeblatt 1'!$D$15)^D77,"")</f>
        <v>319900.35977849079</v>
      </c>
      <c r="L77" s="68">
        <f>IF(D77&lt;='Eingabeblatt 1'!$D$18,(SUMIFS('Eingabeblatt 2'!$Q$14:$Q$53,'Eingabeblatt 2'!$E$14:$E$53,Ergebnis!D77))*(1+'Eingabeblatt 1'!$J$65)^Ergebnis!D77,"")</f>
        <v>0</v>
      </c>
      <c r="M77" s="373">
        <f>IF(A77&lt;='Eingabeblatt 1'!$D$18,SUM(G77:L77)+E77,"")</f>
        <v>-1097581.2742734989</v>
      </c>
      <c r="N77" s="83">
        <f>IF(A77&lt;='Eingabeblatt 1'!$D$18,(E77+G77+H77+I77+J77+K77+L77)/(1+'Eingabeblatt 1'!$D$19)^D77,"")</f>
        <v>-411721.17781930568</v>
      </c>
      <c r="O77" s="419">
        <f>IF(A77&lt;='Eingabeblatt 1'!$D$18,O76+N77,"")</f>
        <v>-68296612.63591285</v>
      </c>
      <c r="P77" s="89"/>
      <c r="Q77" s="89"/>
      <c r="R77" s="93">
        <f>(((40-D77)/40*$Q$52))*('Eingabeblatt 1'!$D$20)+$Q$52/40</f>
        <v>85892.95</v>
      </c>
      <c r="S77" s="93"/>
      <c r="T77" s="93">
        <f>(((30-D77)/30*$S$52))*('Eingabeblatt 1'!$D$20)+$S$52/30</f>
        <v>0</v>
      </c>
      <c r="U77" s="93"/>
      <c r="V77" s="93">
        <f>(((20-D58)/20*$U$72))*('Eingabeblatt 1'!$D$20)+$U$72/20</f>
        <v>1012241.3697087145</v>
      </c>
      <c r="W77" s="93"/>
      <c r="X77" s="93">
        <f>(((10-D58)/10*$W$72))*('Eingabeblatt 1'!$D$20)+$W$72/10</f>
        <v>758263.14865935582</v>
      </c>
      <c r="Y77" s="97">
        <f t="shared" si="8"/>
        <v>1856397.4683680702</v>
      </c>
      <c r="Z77" s="89"/>
      <c r="AA77" s="89"/>
      <c r="AB77" s="89"/>
      <c r="AC77" s="89"/>
      <c r="AD77" s="90">
        <v>25</v>
      </c>
      <c r="AE77" s="95">
        <f t="shared" si="0"/>
        <v>-68296612.63591285</v>
      </c>
      <c r="AF77" s="95">
        <f t="shared" si="1"/>
        <v>-73941922.399046063</v>
      </c>
      <c r="AG77" s="95">
        <f t="shared" si="5"/>
        <v>-5645309.7631332129</v>
      </c>
      <c r="AH77" s="96">
        <f t="shared" si="2"/>
        <v>0</v>
      </c>
      <c r="AI77" s="90"/>
      <c r="AJ77" s="90"/>
      <c r="AK77" s="90">
        <f>IF(AE77&gt;0,IF(SUM(AK52:AK76)=0,AD77,0),0)</f>
        <v>0</v>
      </c>
      <c r="AL77" s="90">
        <f>IF(AF77&gt;0,IF(SUM(AL52:AL76)=0,AD77,0),0)</f>
        <v>0</v>
      </c>
      <c r="AM77" s="89"/>
      <c r="AN77" s="89"/>
      <c r="AO77" s="93">
        <f t="shared" si="3"/>
        <v>-2953978.7426415686</v>
      </c>
      <c r="AP77" s="93">
        <f t="shared" si="4"/>
        <v>-2778012.817994725</v>
      </c>
      <c r="AQ77" s="93">
        <f t="shared" si="6"/>
        <v>-175965.92464684369</v>
      </c>
      <c r="AR77" s="89"/>
      <c r="AS77" s="89"/>
      <c r="AT77" s="89"/>
      <c r="AU77" s="89"/>
      <c r="AV77" s="89"/>
      <c r="AW77" s="89"/>
      <c r="AX77" s="89"/>
      <c r="AY77" s="8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87"/>
      <c r="CG77" s="87"/>
      <c r="CH77" s="87"/>
      <c r="CI77" s="87"/>
      <c r="CJ77" s="87"/>
      <c r="CK77" s="87"/>
      <c r="CL77" s="87"/>
      <c r="CM77" s="87"/>
      <c r="CN77" s="87"/>
      <c r="CO77" s="87"/>
      <c r="CP77" s="87"/>
      <c r="CQ77" s="87"/>
      <c r="CR77" s="87"/>
      <c r="CS77" s="87"/>
      <c r="CT77" s="87"/>
      <c r="CU77" s="87"/>
      <c r="CV77" s="87"/>
      <c r="CW77" s="87"/>
      <c r="CX77" s="87"/>
    </row>
    <row r="78" spans="1:102" ht="14.25" customHeight="1" x14ac:dyDescent="0.3">
      <c r="A78" s="28">
        <v>26</v>
      </c>
      <c r="C78" s="62">
        <f>IF(A78&lt;='Eingabeblatt 1'!$D$18,C77+1,"")</f>
        <v>2044</v>
      </c>
      <c r="D78" s="63">
        <f>IF(A78&lt;='Eingabeblatt 1'!$D$18,D77+1,"")</f>
        <v>26</v>
      </c>
      <c r="E78" s="64">
        <f>IF(A78&lt;='Eingabeblatt 1'!$D$18,IF(D78='Eingabeblatt 1'!$D$65,-'Eingabeblatt 1'!$L$65*(1+'Eingabeblatt 1'!$J$65)^D78,IF(D78='Eingabeblatt 1'!$D$66,-'Eingabeblatt 1'!$L$66*(1+'Eingabeblatt 1'!$J$66)^D78,IF(D78='Eingabeblatt 1'!$D$67,-'Eingabeblatt 1'!$L$67*(1+'Eingabeblatt 1'!$J$67)^D78,0))),"")</f>
        <v>0</v>
      </c>
      <c r="F78" s="64">
        <f t="shared" si="7"/>
        <v>-1825217.8568060133</v>
      </c>
      <c r="G78" s="65">
        <f>IF(A78&lt;='Eingabeblatt 1'!$D$18,IF(D78='Eingabeblatt 1'!$D$72,-('Eingabeblatt 1'!$L$71+'Eingabeblatt 1'!$L$72)*(1+'Eingabeblatt 1'!$J$71)^Ergebnis!D78,-('Eingabeblatt 1'!$L$71)*(1+'Eingabeblatt 1'!$J$71)^Ergebnis!D78),"")</f>
        <v>-702835.60802869021</v>
      </c>
      <c r="H78" s="66">
        <f>IF(A78&lt;='Eingabeblatt 1'!$D$18,H77*(1+'Eingabeblatt 1'!$J$73),"")</f>
        <v>-549406.09207487898</v>
      </c>
      <c r="I78" s="66">
        <f>IF(A78&lt;='Eingabeblatt 1'!$D$18,(-'Eingabeblatt 1'!$L$75*(1+'Eingabeblatt 1'!$J$75)^Ergebnis!D78)-('Eingabeblatt 1'!$L$76*(1+'Eingabeblatt 1'!$J$76)^Ergebnis!D78)-('Eingabeblatt 1'!$L$77*(1+'Eingabeblatt 1'!$J$77)^Ergebnis!D78),"")</f>
        <v>-198531.24560503924</v>
      </c>
      <c r="J78" s="67">
        <f>IF(A77&lt;='Eingabeblatt 1'!$D$18,'Eingabeblatt 1'!$D$81*(1+'Eingabeblatt 1'!$J$81)^Ergebnis!D78)</f>
        <v>6476.2815748370331</v>
      </c>
      <c r="K78" s="68">
        <f>IF(A78&lt;='Eingabeblatt 1'!$D$18,'Eingabeblatt 1'!$L$15*(1+'Eingabeblatt 1'!$D$15)^D78,"")</f>
        <v>332696.37416963041</v>
      </c>
      <c r="L78" s="68">
        <f>IF(D78&lt;='Eingabeblatt 1'!$D$18,(SUMIFS('Eingabeblatt 2'!$Q$14:$Q$53,'Eingabeblatt 2'!$E$14:$E$53,Ergebnis!D78))*(1+'Eingabeblatt 1'!$J$65)^Ergebnis!D78,"")</f>
        <v>0</v>
      </c>
      <c r="M78" s="373">
        <f>IF(A78&lt;='Eingabeblatt 1'!$D$18,SUM(G78:L78)+E78,"")</f>
        <v>-1111600.2899641411</v>
      </c>
      <c r="N78" s="83">
        <f>IF(A78&lt;='Eingabeblatt 1'!$D$18,(E78+G78+H78+I78+J78+K78+L78)/(1+'Eingabeblatt 1'!$D$19)^D78,"")</f>
        <v>-400942.25591916114</v>
      </c>
      <c r="O78" s="419">
        <f>IF(A78&lt;='Eingabeblatt 1'!$D$18,O77+N78,"")</f>
        <v>-68697554.891832009</v>
      </c>
      <c r="P78" s="89"/>
      <c r="Q78" s="89"/>
      <c r="R78" s="93">
        <f>(((40-D78)/40*$Q$52))*('Eingabeblatt 1'!$D$20)+$Q$52/40</f>
        <v>84571.51999999999</v>
      </c>
      <c r="S78" s="93"/>
      <c r="T78" s="93">
        <f>(((30-D78)/30*$S$52))*('Eingabeblatt 1'!$D$20)+$S$52/30</f>
        <v>0</v>
      </c>
      <c r="U78" s="93"/>
      <c r="V78" s="93">
        <f>(((20-D59)/20*$U$72))*('Eingabeblatt 1'!$D$20)+$U$72/20</f>
        <v>996425.09830701596</v>
      </c>
      <c r="W78" s="93"/>
      <c r="X78" s="93">
        <f>(((10-D59)/10*$W$72))*('Eingabeblatt 1'!$D$20)+$W$72/10</f>
        <v>744221.23849899741</v>
      </c>
      <c r="Y78" s="97">
        <f t="shared" si="8"/>
        <v>1825217.8568060133</v>
      </c>
      <c r="Z78" s="89"/>
      <c r="AA78" s="89"/>
      <c r="AB78" s="89"/>
      <c r="AC78" s="89"/>
      <c r="AD78" s="90">
        <v>26</v>
      </c>
      <c r="AE78" s="95">
        <f t="shared" si="0"/>
        <v>-68697554.891832009</v>
      </c>
      <c r="AF78" s="95">
        <f t="shared" si="1"/>
        <v>-74472842.102937222</v>
      </c>
      <c r="AG78" s="95">
        <f t="shared" si="5"/>
        <v>-5775287.2111052126</v>
      </c>
      <c r="AH78" s="96">
        <f t="shared" si="2"/>
        <v>0</v>
      </c>
      <c r="AI78" s="90"/>
      <c r="AJ78" s="90"/>
      <c r="AK78" s="90">
        <f>IF(AE78&gt;0,IF(SUM(AK52:AK77)=0,AD78,0),0)</f>
        <v>0</v>
      </c>
      <c r="AL78" s="90">
        <f>IF(AF78&gt;0,IF(SUM(AL52:AL77)=0,AD78,0),0)</f>
        <v>0</v>
      </c>
      <c r="AM78" s="89"/>
      <c r="AN78" s="89"/>
      <c r="AO78" s="93">
        <f t="shared" si="3"/>
        <v>-2936818.1467701546</v>
      </c>
      <c r="AP78" s="93">
        <f t="shared" si="4"/>
        <v>-2782253.9771650368</v>
      </c>
      <c r="AQ78" s="93">
        <f t="shared" si="6"/>
        <v>-154564.16960511776</v>
      </c>
      <c r="AR78" s="89"/>
      <c r="AS78" s="89"/>
      <c r="AT78" s="89"/>
      <c r="AU78" s="89"/>
      <c r="AV78" s="89"/>
      <c r="AW78" s="89"/>
      <c r="AX78" s="89"/>
      <c r="AY78" s="87"/>
      <c r="AZ78" s="87"/>
      <c r="BA78" s="87"/>
      <c r="BB78" s="87"/>
      <c r="BC78" s="87"/>
      <c r="BD78" s="87"/>
      <c r="BE78" s="87"/>
      <c r="BF78" s="87"/>
      <c r="BG78" s="87"/>
      <c r="BH78" s="87"/>
      <c r="BI78" s="87"/>
      <c r="BJ78" s="87"/>
      <c r="BK78" s="87"/>
      <c r="BL78" s="87"/>
      <c r="BM78" s="87"/>
      <c r="BN78" s="87"/>
      <c r="BO78" s="87"/>
      <c r="BP78" s="87"/>
      <c r="BQ78" s="87"/>
      <c r="BR78" s="87"/>
      <c r="BS78" s="87"/>
      <c r="BT78" s="87"/>
      <c r="BU78" s="87"/>
      <c r="BV78" s="87"/>
      <c r="BW78" s="87"/>
      <c r="BX78" s="87"/>
      <c r="BY78" s="87"/>
      <c r="BZ78" s="87"/>
      <c r="CA78" s="87"/>
      <c r="CB78" s="87"/>
      <c r="CC78" s="87"/>
      <c r="CD78" s="87"/>
      <c r="CE78" s="87"/>
      <c r="CF78" s="87"/>
      <c r="CG78" s="87"/>
      <c r="CH78" s="87"/>
      <c r="CI78" s="87"/>
      <c r="CJ78" s="87"/>
      <c r="CK78" s="87"/>
      <c r="CL78" s="87"/>
      <c r="CM78" s="87"/>
      <c r="CN78" s="87"/>
      <c r="CO78" s="87"/>
      <c r="CP78" s="87"/>
      <c r="CQ78" s="87"/>
      <c r="CR78" s="87"/>
      <c r="CS78" s="87"/>
      <c r="CT78" s="87"/>
      <c r="CU78" s="87"/>
      <c r="CV78" s="87"/>
      <c r="CW78" s="87"/>
      <c r="CX78" s="87"/>
    </row>
    <row r="79" spans="1:102" ht="14.25" customHeight="1" x14ac:dyDescent="0.3">
      <c r="A79" s="28">
        <v>27</v>
      </c>
      <c r="C79" s="62">
        <f>IF(A79&lt;='Eingabeblatt 1'!$D$18,C78+1,"")</f>
        <v>2045</v>
      </c>
      <c r="D79" s="63">
        <f>IF(A79&lt;='Eingabeblatt 1'!$D$18,D78+1,"")</f>
        <v>27</v>
      </c>
      <c r="E79" s="64">
        <f>IF(A79&lt;='Eingabeblatt 1'!$D$18,IF(D79='Eingabeblatt 1'!$D$65,-'Eingabeblatt 1'!$L$65*(1+'Eingabeblatt 1'!$J$65)^D79,IF(D79='Eingabeblatt 1'!$D$66,-'Eingabeblatt 1'!$L$66*(1+'Eingabeblatt 1'!$J$66)^D79,IF(D79='Eingabeblatt 1'!$D$67,-'Eingabeblatt 1'!$L$67*(1+'Eingabeblatt 1'!$J$67)^D79,0))),"")</f>
        <v>0</v>
      </c>
      <c r="F79" s="64">
        <f t="shared" si="7"/>
        <v>-1794038.2452439561</v>
      </c>
      <c r="G79" s="65">
        <f>IF(A79&lt;='Eingabeblatt 1'!$D$18,IF(D79='Eingabeblatt 1'!$D$72,-('Eingabeblatt 1'!$L$71+'Eingabeblatt 1'!$L$72)*(1+'Eingabeblatt 1'!$J$71)^Ergebnis!D79,-('Eingabeblatt 1'!$L$71)*(1+'Eingabeblatt 1'!$J$71)^Ergebnis!D79),"")</f>
        <v>-716892.3201892639</v>
      </c>
      <c r="H79" s="66">
        <f>IF(A79&lt;='Eingabeblatt 1'!$D$18,H78*(1+'Eingabeblatt 1'!$J$73),"")</f>
        <v>-561767.72914656368</v>
      </c>
      <c r="I79" s="66">
        <f>IF(A79&lt;='Eingabeblatt 1'!$D$18,(-'Eingabeblatt 1'!$L$75*(1+'Eingabeblatt 1'!$J$75)^Ergebnis!D79)-('Eingabeblatt 1'!$L$76*(1+'Eingabeblatt 1'!$J$76)^Ergebnis!D79)-('Eingabeblatt 1'!$L$77*(1+'Eingabeblatt 1'!$J$77)^Ergebnis!D79),"")</f>
        <v>-199544.93679561946</v>
      </c>
      <c r="J79" s="67">
        <f>IF(A78&lt;='Eingabeblatt 1'!$D$18,'Eingabeblatt 1'!$D$81*(1+'Eingabeblatt 1'!$J$81)^Ergebnis!D79)</f>
        <v>6541.0443905854008</v>
      </c>
      <c r="K79" s="68">
        <f>IF(A79&lt;='Eingabeblatt 1'!$D$18,'Eingabeblatt 1'!$L$15*(1+'Eingabeblatt 1'!$D$15)^D79,"")</f>
        <v>346004.22913641564</v>
      </c>
      <c r="L79" s="68">
        <f>IF(D79&lt;='Eingabeblatt 1'!$D$18,(SUMIFS('Eingabeblatt 2'!$Q$14:$Q$53,'Eingabeblatt 2'!$E$14:$E$53,Ergebnis!D79))*(1+'Eingabeblatt 1'!$J$65)^Ergebnis!D79,"")</f>
        <v>0</v>
      </c>
      <c r="M79" s="373">
        <f>IF(A79&lt;='Eingabeblatt 1'!$D$18,SUM(G79:L79)+E79,"")</f>
        <v>-1125659.7126044459</v>
      </c>
      <c r="N79" s="83">
        <f>IF(A79&lt;='Eingabeblatt 1'!$D$18,(E79+G79+H79+I79+J79+K79+L79)/(1+'Eingabeblatt 1'!$D$19)^D79,"")</f>
        <v>-390397.44066040649</v>
      </c>
      <c r="O79" s="419">
        <f>IF(A79&lt;='Eingabeblatt 1'!$D$18,O78+N79,"")</f>
        <v>-69087952.332492411</v>
      </c>
      <c r="P79" s="89"/>
      <c r="Q79" s="89"/>
      <c r="R79" s="93">
        <f>(((40-D79)/40*$Q$52))*('Eingabeblatt 1'!$D$20)+$Q$52/40</f>
        <v>83250.09</v>
      </c>
      <c r="S79" s="93"/>
      <c r="T79" s="93">
        <f>(((30-D79)/30*$S$52))*('Eingabeblatt 1'!$D$20)+$S$52/30</f>
        <v>0</v>
      </c>
      <c r="U79" s="93"/>
      <c r="V79" s="93">
        <f>(((20-D60)/20*$U$72))*('Eingabeblatt 1'!$D$20)+$U$72/20</f>
        <v>980608.82690531726</v>
      </c>
      <c r="W79" s="93"/>
      <c r="X79" s="93">
        <f>(((10-D60)/10*$W$72))*('Eingabeblatt 1'!$D$20)+$W$72/10</f>
        <v>730179.32833863888</v>
      </c>
      <c r="Y79" s="97">
        <f t="shared" si="8"/>
        <v>1794038.2452439561</v>
      </c>
      <c r="Z79" s="89"/>
      <c r="AA79" s="89"/>
      <c r="AB79" s="89"/>
      <c r="AC79" s="89"/>
      <c r="AD79" s="90">
        <v>27</v>
      </c>
      <c r="AE79" s="95">
        <f t="shared" si="0"/>
        <v>-69087952.332492411</v>
      </c>
      <c r="AF79" s="95">
        <f t="shared" si="1"/>
        <v>-74992865.328736588</v>
      </c>
      <c r="AG79" s="95">
        <f t="shared" si="5"/>
        <v>-5904912.9962441772</v>
      </c>
      <c r="AH79" s="96">
        <f t="shared" si="2"/>
        <v>0</v>
      </c>
      <c r="AI79" s="90"/>
      <c r="AJ79" s="90"/>
      <c r="AK79" s="90">
        <f>IF(AE79&gt;0,IF(SUM(AK52:AK78)=0,AD79,0),0)</f>
        <v>0</v>
      </c>
      <c r="AL79" s="90">
        <f>IF(AF79&gt;0,IF(SUM(AL52:AL78)=0,AD79,0),0)</f>
        <v>0</v>
      </c>
      <c r="AM79" s="89"/>
      <c r="AN79" s="89"/>
      <c r="AO79" s="93">
        <f t="shared" si="3"/>
        <v>-2919697.9578484017</v>
      </c>
      <c r="AP79" s="93">
        <f t="shared" si="4"/>
        <v>-2787043.2881311933</v>
      </c>
      <c r="AQ79" s="93">
        <f t="shared" si="6"/>
        <v>-132654.66971720848</v>
      </c>
      <c r="AR79" s="89"/>
      <c r="AS79" s="89"/>
      <c r="AT79" s="89"/>
      <c r="AU79" s="89"/>
      <c r="AV79" s="89"/>
      <c r="AW79" s="89"/>
      <c r="AX79" s="89"/>
      <c r="AY79" s="87"/>
      <c r="AZ79" s="87"/>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7"/>
      <c r="CA79" s="87"/>
      <c r="CB79" s="87"/>
      <c r="CC79" s="87"/>
      <c r="CD79" s="87"/>
      <c r="CE79" s="87"/>
      <c r="CF79" s="87"/>
      <c r="CG79" s="87"/>
      <c r="CH79" s="87"/>
      <c r="CI79" s="87"/>
      <c r="CJ79" s="87"/>
      <c r="CK79" s="87"/>
      <c r="CL79" s="87"/>
      <c r="CM79" s="87"/>
      <c r="CN79" s="87"/>
      <c r="CO79" s="87"/>
      <c r="CP79" s="87"/>
      <c r="CQ79" s="87"/>
      <c r="CR79" s="87"/>
      <c r="CS79" s="87"/>
      <c r="CT79" s="87"/>
      <c r="CU79" s="87"/>
      <c r="CV79" s="87"/>
      <c r="CW79" s="87"/>
      <c r="CX79" s="87"/>
    </row>
    <row r="80" spans="1:102" ht="14.25" customHeight="1" x14ac:dyDescent="0.3">
      <c r="A80" s="28">
        <v>28</v>
      </c>
      <c r="C80" s="62">
        <f>IF(A80&lt;='Eingabeblatt 1'!$D$18,C79+1,"")</f>
        <v>2046</v>
      </c>
      <c r="D80" s="63">
        <f>IF(A80&lt;='Eingabeblatt 1'!$D$18,D79+1,"")</f>
        <v>28</v>
      </c>
      <c r="E80" s="64">
        <f>IF(A80&lt;='Eingabeblatt 1'!$D$18,IF(D80='Eingabeblatt 1'!$D$65,-'Eingabeblatt 1'!$L$65*(1+'Eingabeblatt 1'!$J$65)^D80,IF(D80='Eingabeblatt 1'!$D$66,-'Eingabeblatt 1'!$L$66*(1+'Eingabeblatt 1'!$J$66)^D80,IF(D80='Eingabeblatt 1'!$D$67,-'Eingabeblatt 1'!$L$67*(1+'Eingabeblatt 1'!$J$67)^D80,0))),"")</f>
        <v>0</v>
      </c>
      <c r="F80" s="64">
        <f t="shared" si="7"/>
        <v>-1762858.6336818992</v>
      </c>
      <c r="G80" s="65">
        <f>IF(A80&lt;='Eingabeblatt 1'!$D$18,IF(D80='Eingabeblatt 1'!$D$72,-('Eingabeblatt 1'!$L$71+'Eingabeblatt 1'!$L$72)*(1+'Eingabeblatt 1'!$J$71)^Ergebnis!D80,-('Eingabeblatt 1'!$L$71)*(1+'Eingabeblatt 1'!$J$71)^Ergebnis!D80),"")</f>
        <v>-731230.1665930493</v>
      </c>
      <c r="H80" s="66">
        <f>IF(A80&lt;='Eingabeblatt 1'!$D$18,H79*(1+'Eingabeblatt 1'!$J$73),"")</f>
        <v>-574407.50305236131</v>
      </c>
      <c r="I80" s="66">
        <f>IF(A80&lt;='Eingabeblatt 1'!$D$18,(-'Eingabeblatt 1'!$L$75*(1+'Eingabeblatt 1'!$J$75)^Ergebnis!D80)-('Eingabeblatt 1'!$L$76*(1+'Eingabeblatt 1'!$J$76)^Ergebnis!D80)-('Eingabeblatt 1'!$L$77*(1+'Eingabeblatt 1'!$J$77)^Ergebnis!D80),"")</f>
        <v>-200563.90679177814</v>
      </c>
      <c r="J80" s="67">
        <f>IF(A79&lt;='Eingabeblatt 1'!$D$18,'Eingabeblatt 1'!$D$81*(1+'Eingabeblatt 1'!$J$81)^Ergebnis!D80)</f>
        <v>6606.4548344912555</v>
      </c>
      <c r="K80" s="68">
        <f>IF(A80&lt;='Eingabeblatt 1'!$D$18,'Eingabeblatt 1'!$L$15*(1+'Eingabeblatt 1'!$D$15)^D80,"")</f>
        <v>359844.39830187231</v>
      </c>
      <c r="L80" s="68">
        <f>IF(D80&lt;='Eingabeblatt 1'!$D$18,(SUMIFS('Eingabeblatt 2'!$Q$14:$Q$53,'Eingabeblatt 2'!$E$14:$E$53,Ergebnis!D80))*(1+'Eingabeblatt 1'!$J$65)^Ergebnis!D80,"")</f>
        <v>0</v>
      </c>
      <c r="M80" s="373">
        <f>IF(A80&lt;='Eingabeblatt 1'!$D$18,SUM(G80:L80)+E80,"")</f>
        <v>-1139750.7233008249</v>
      </c>
      <c r="N80" s="83">
        <f>IF(A80&lt;='Eingabeblatt 1'!$D$18,(E80+G80+H80+I80+J80+K80+L80)/(1+'Eingabeblatt 1'!$D$19)^D80,"")</f>
        <v>-380081.18909596861</v>
      </c>
      <c r="O80" s="419">
        <f>IF(A80&lt;='Eingabeblatt 1'!$D$18,O79+N80,"")</f>
        <v>-69468033.521588385</v>
      </c>
      <c r="P80" s="89"/>
      <c r="Q80" s="89"/>
      <c r="R80" s="93">
        <f>(((40-D80)/40*$Q$52))*('Eingabeblatt 1'!$D$20)+$Q$52/40</f>
        <v>81928.66</v>
      </c>
      <c r="S80" s="93"/>
      <c r="T80" s="93">
        <f>(((30-D80)/30*$S$52))*('Eingabeblatt 1'!$D$20)+$S$52/30</f>
        <v>0</v>
      </c>
      <c r="U80" s="93"/>
      <c r="V80" s="93">
        <f>(((20-D61)/20*$U$72))*('Eingabeblatt 1'!$D$20)+$U$72/20</f>
        <v>964792.55550361867</v>
      </c>
      <c r="W80" s="93"/>
      <c r="X80" s="93">
        <f>(((10-D61)/10*$W$72))*('Eingabeblatt 1'!$D$20)+$W$72/10</f>
        <v>716137.41817828047</v>
      </c>
      <c r="Y80" s="97">
        <f t="shared" si="8"/>
        <v>1762858.6336818992</v>
      </c>
      <c r="Z80" s="89"/>
      <c r="AA80" s="89"/>
      <c r="AB80" s="89"/>
      <c r="AC80" s="89"/>
      <c r="AD80" s="90">
        <v>28</v>
      </c>
      <c r="AE80" s="95">
        <f t="shared" si="0"/>
        <v>-69468033.521588385</v>
      </c>
      <c r="AF80" s="95">
        <f t="shared" si="1"/>
        <v>-75502231.526753947</v>
      </c>
      <c r="AG80" s="95">
        <f t="shared" si="5"/>
        <v>-6034198.005165562</v>
      </c>
      <c r="AH80" s="96">
        <f t="shared" si="2"/>
        <v>0</v>
      </c>
      <c r="AI80" s="90"/>
      <c r="AJ80" s="90"/>
      <c r="AK80" s="90">
        <f>IF(AE80&gt;0,IF(SUM(AK52:AK79)=0,AD80,0),0)</f>
        <v>0</v>
      </c>
      <c r="AL80" s="90">
        <f>IF(AF80&gt;0,IF(SUM(AL52:AL79)=0,AD80,0),0)</f>
        <v>0</v>
      </c>
      <c r="AM80" s="89"/>
      <c r="AN80" s="89"/>
      <c r="AO80" s="93">
        <f t="shared" si="3"/>
        <v>-2902609.3569827243</v>
      </c>
      <c r="AP80" s="93">
        <f t="shared" si="4"/>
        <v>-2792392.2886739238</v>
      </c>
      <c r="AQ80" s="93">
        <f t="shared" si="6"/>
        <v>-110217.06830880046</v>
      </c>
      <c r="AR80" s="89"/>
      <c r="AS80" s="89"/>
      <c r="AT80" s="89"/>
      <c r="AU80" s="89"/>
      <c r="AV80" s="89"/>
      <c r="AW80" s="89"/>
      <c r="AX80" s="89"/>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c r="BX80" s="87"/>
      <c r="BY80" s="87"/>
      <c r="BZ80" s="87"/>
      <c r="CA80" s="87"/>
      <c r="CB80" s="87"/>
      <c r="CC80" s="87"/>
      <c r="CD80" s="87"/>
      <c r="CE80" s="87"/>
      <c r="CF80" s="87"/>
      <c r="CG80" s="87"/>
      <c r="CH80" s="87"/>
      <c r="CI80" s="87"/>
      <c r="CJ80" s="87"/>
      <c r="CK80" s="87"/>
      <c r="CL80" s="87"/>
      <c r="CM80" s="87"/>
      <c r="CN80" s="87"/>
      <c r="CO80" s="87"/>
      <c r="CP80" s="87"/>
      <c r="CQ80" s="87"/>
      <c r="CR80" s="87"/>
      <c r="CS80" s="87"/>
      <c r="CT80" s="87"/>
      <c r="CU80" s="87"/>
      <c r="CV80" s="87"/>
      <c r="CW80" s="87"/>
      <c r="CX80" s="87"/>
    </row>
    <row r="81" spans="1:102" ht="14.25" customHeight="1" x14ac:dyDescent="0.3">
      <c r="A81" s="28">
        <v>29</v>
      </c>
      <c r="C81" s="62">
        <f>IF(A81&lt;='Eingabeblatt 1'!$D$18,C80+1,"")</f>
        <v>2047</v>
      </c>
      <c r="D81" s="63">
        <f>IF(A81&lt;='Eingabeblatt 1'!$D$18,D80+1,"")</f>
        <v>29</v>
      </c>
      <c r="E81" s="64">
        <f>IF(A81&lt;='Eingabeblatt 1'!$D$18,IF(D81='Eingabeblatt 1'!$D$65,-'Eingabeblatt 1'!$L$65*(1+'Eingabeblatt 1'!$J$65)^D81,IF(D81='Eingabeblatt 1'!$D$66,-'Eingabeblatt 1'!$L$66*(1+'Eingabeblatt 1'!$J$66)^D81,IF(D81='Eingabeblatt 1'!$D$67,-'Eingabeblatt 1'!$L$67*(1+'Eingabeblatt 1'!$J$67)^D81,0))),"")</f>
        <v>0</v>
      </c>
      <c r="F81" s="64">
        <f t="shared" si="7"/>
        <v>-1731679.022119842</v>
      </c>
      <c r="G81" s="65">
        <f>IF(A81&lt;='Eingabeblatt 1'!$D$18,IF(D81='Eingabeblatt 1'!$D$72,-('Eingabeblatt 1'!$L$71+'Eingabeblatt 1'!$L$72)*(1+'Eingabeblatt 1'!$J$71)^Ergebnis!D81,-('Eingabeblatt 1'!$L$71)*(1+'Eingabeblatt 1'!$J$71)^Ergebnis!D81),"")</f>
        <v>-745854.76992491016</v>
      </c>
      <c r="H81" s="66">
        <f>IF(A81&lt;='Eingabeblatt 1'!$D$18,H80*(1+'Eingabeblatt 1'!$J$73),"")</f>
        <v>-587331.67187103943</v>
      </c>
      <c r="I81" s="66">
        <f>IF(A81&lt;='Eingabeblatt 1'!$D$18,(-'Eingabeblatt 1'!$L$75*(1+'Eingabeblatt 1'!$J$75)^Ergebnis!D81)-('Eingabeblatt 1'!$L$76*(1+'Eingabeblatt 1'!$J$76)^Ergebnis!D81)-('Eingabeblatt 1'!$L$77*(1+'Eingabeblatt 1'!$J$77)^Ergebnis!D81),"")</f>
        <v>-201588.18409103944</v>
      </c>
      <c r="J81" s="67">
        <f>IF(A80&lt;='Eingabeblatt 1'!$D$18,'Eingabeblatt 1'!$D$81*(1+'Eingabeblatt 1'!$J$81)^Ergebnis!D81)</f>
        <v>6672.519382836168</v>
      </c>
      <c r="K81" s="68">
        <f>IF(A81&lt;='Eingabeblatt 1'!$D$18,'Eingabeblatt 1'!$L$15*(1+'Eingabeblatt 1'!$D$15)^D81,"")</f>
        <v>374238.17423394724</v>
      </c>
      <c r="L81" s="68">
        <f>IF(D81&lt;='Eingabeblatt 1'!$D$18,(SUMIFS('Eingabeblatt 2'!$Q$14:$Q$53,'Eingabeblatt 2'!$E$14:$E$53,Ergebnis!D81))*(1+'Eingabeblatt 1'!$J$65)^Ergebnis!D81,"")</f>
        <v>0</v>
      </c>
      <c r="M81" s="373">
        <f>IF(A81&lt;='Eingabeblatt 1'!$D$18,SUM(G81:L81)+E81,"")</f>
        <v>-1153863.9322702058</v>
      </c>
      <c r="N81" s="83">
        <f>IF(A81&lt;='Eingabeblatt 1'!$D$18,(E81+G81+H81+I81+J81+K81+L81)/(1+'Eingabeblatt 1'!$D$19)^D81,"")</f>
        <v>-369988.10224492761</v>
      </c>
      <c r="O81" s="419">
        <f>IF(A81&lt;='Eingabeblatt 1'!$D$18,O80+N81,"")</f>
        <v>-69838021.623833314</v>
      </c>
      <c r="P81" s="89"/>
      <c r="Q81" s="89"/>
      <c r="R81" s="93">
        <f>(((40-D81)/40*$Q$52))*('Eingabeblatt 1'!$D$20)+$Q$52/40</f>
        <v>80607.23000000001</v>
      </c>
      <c r="S81" s="93"/>
      <c r="T81" s="93">
        <f>(((30-D81)/30*$S$52))*('Eingabeblatt 1'!$D$20)+$S$52/30</f>
        <v>0</v>
      </c>
      <c r="U81" s="93"/>
      <c r="V81" s="93">
        <f>(((20-D62)/20*$U$72))*('Eingabeblatt 1'!$D$20)+$U$72/20</f>
        <v>948976.28410191997</v>
      </c>
      <c r="W81" s="93"/>
      <c r="X81" s="93">
        <f>(((10-D62)/10*$W$72))*('Eingabeblatt 1'!$D$20)+$W$72/10</f>
        <v>702095.50801792205</v>
      </c>
      <c r="Y81" s="97">
        <f t="shared" si="8"/>
        <v>1731679.022119842</v>
      </c>
      <c r="Z81" s="89"/>
      <c r="AA81" s="89"/>
      <c r="AB81" s="89"/>
      <c r="AC81" s="89"/>
      <c r="AD81" s="90">
        <v>29</v>
      </c>
      <c r="AE81" s="95">
        <f t="shared" si="0"/>
        <v>-69838021.623833314</v>
      </c>
      <c r="AF81" s="95">
        <f t="shared" si="1"/>
        <v>-76001174.447043478</v>
      </c>
      <c r="AG81" s="95">
        <f t="shared" si="5"/>
        <v>-6163152.8232101649</v>
      </c>
      <c r="AH81" s="96">
        <f t="shared" si="2"/>
        <v>0</v>
      </c>
      <c r="AI81" s="90"/>
      <c r="AJ81" s="90"/>
      <c r="AK81" s="90">
        <f>IF(AE81&gt;0,IF(SUM(AK52:AK80)=0,AD81,0),0)</f>
        <v>0</v>
      </c>
      <c r="AL81" s="90">
        <f>IF(AF81&gt;0,IF(SUM(AL52:AL80)=0,AD81,0),0)</f>
        <v>0</v>
      </c>
      <c r="AM81" s="89"/>
      <c r="AN81" s="89"/>
      <c r="AO81" s="93">
        <f t="shared" si="3"/>
        <v>-2885542.9543900476</v>
      </c>
      <c r="AP81" s="93">
        <f t="shared" si="4"/>
        <v>-2798312.7628009124</v>
      </c>
      <c r="AQ81" s="93">
        <f t="shared" si="6"/>
        <v>-87230.191589135211</v>
      </c>
      <c r="AR81" s="89"/>
      <c r="AS81" s="89"/>
      <c r="AT81" s="89"/>
      <c r="AU81" s="89"/>
      <c r="AV81" s="89"/>
      <c r="AW81" s="89"/>
      <c r="AX81" s="89"/>
      <c r="AY81" s="87"/>
      <c r="AZ81" s="87"/>
      <c r="BA81" s="87"/>
      <c r="BB81" s="87"/>
      <c r="BC81" s="87"/>
      <c r="BD81" s="87"/>
      <c r="BE81" s="87"/>
      <c r="BF81" s="87"/>
      <c r="BG81" s="87"/>
      <c r="BH81" s="87"/>
      <c r="BI81" s="87"/>
      <c r="BJ81" s="87"/>
      <c r="BK81" s="87"/>
      <c r="BL81" s="87"/>
      <c r="BM81" s="87"/>
      <c r="BN81" s="87"/>
      <c r="BO81" s="87"/>
      <c r="BP81" s="87"/>
      <c r="BQ81" s="87"/>
      <c r="BR81" s="87"/>
      <c r="BS81" s="87"/>
      <c r="BT81" s="87"/>
      <c r="BU81" s="87"/>
      <c r="BV81" s="87"/>
      <c r="BW81" s="87"/>
      <c r="BX81" s="87"/>
      <c r="BY81" s="87"/>
      <c r="BZ81" s="87"/>
      <c r="CA81" s="87"/>
      <c r="CB81" s="87"/>
      <c r="CC81" s="87"/>
      <c r="CD81" s="87"/>
      <c r="CE81" s="87"/>
      <c r="CF81" s="87"/>
      <c r="CG81" s="87"/>
      <c r="CH81" s="87"/>
      <c r="CI81" s="87"/>
      <c r="CJ81" s="87"/>
      <c r="CK81" s="87"/>
      <c r="CL81" s="87"/>
      <c r="CM81" s="87"/>
      <c r="CN81" s="87"/>
      <c r="CO81" s="87"/>
      <c r="CP81" s="87"/>
      <c r="CQ81" s="87"/>
      <c r="CR81" s="87"/>
      <c r="CS81" s="87"/>
      <c r="CT81" s="87"/>
      <c r="CU81" s="87"/>
      <c r="CV81" s="87"/>
      <c r="CW81" s="87"/>
      <c r="CX81" s="87"/>
    </row>
    <row r="82" spans="1:102" ht="14.25" customHeight="1" x14ac:dyDescent="0.3">
      <c r="A82" s="28">
        <v>30</v>
      </c>
      <c r="C82" s="62">
        <f>IF(A82&lt;='Eingabeblatt 1'!$D$18,C81+1,"")</f>
        <v>2048</v>
      </c>
      <c r="D82" s="63">
        <f>IF(A82&lt;='Eingabeblatt 1'!$D$18,D81+1,"")</f>
        <v>30</v>
      </c>
      <c r="E82" s="64">
        <f>IF(A82&lt;='Eingabeblatt 1'!$D$18,IF(D82='Eingabeblatt 1'!$D$65,-'Eingabeblatt 1'!$L$65*(1+'Eingabeblatt 1'!$J$65)^D82,IF(D82='Eingabeblatt 1'!$D$66,-'Eingabeblatt 1'!$L$66*(1+'Eingabeblatt 1'!$J$66)^D82,IF(D82='Eingabeblatt 1'!$D$67,-'Eingabeblatt 1'!$L$67*(1+'Eingabeblatt 1'!$J$67)^D82,0))),"")</f>
        <v>-13443699.757315146</v>
      </c>
      <c r="F82" s="64">
        <f t="shared" si="7"/>
        <v>-2022349.4104613541</v>
      </c>
      <c r="G82" s="65">
        <f>IF(A82&lt;='Eingabeblatt 1'!$D$18,IF(D82='Eingabeblatt 1'!$D$72,-('Eingabeblatt 1'!$L$71+'Eingabeblatt 1'!$L$72)*(1+'Eingabeblatt 1'!$J$71)^Ergebnis!D82,-('Eingabeblatt 1'!$L$71)*(1+'Eingabeblatt 1'!$J$71)^Ergebnis!D82),"")</f>
        <v>-760771.86532340851</v>
      </c>
      <c r="H82" s="66">
        <f>IF(A82&lt;='Eingabeblatt 1'!$D$18,H81*(1+'Eingabeblatt 1'!$J$73),"")</f>
        <v>-600546.63448813779</v>
      </c>
      <c r="I82" s="66">
        <f>IF(A82&lt;='Eingabeblatt 1'!$D$18,(-'Eingabeblatt 1'!$L$75*(1+'Eingabeblatt 1'!$J$75)^Ergebnis!D82)-('Eingabeblatt 1'!$L$76*(1+'Eingabeblatt 1'!$J$76)^Ergebnis!D82)-('Eingabeblatt 1'!$L$77*(1+'Eingabeblatt 1'!$J$77)^Ergebnis!D82),"")</f>
        <v>-202617.79735445007</v>
      </c>
      <c r="J82" s="67">
        <f>IF(A81&lt;='Eingabeblatt 1'!$D$18,'Eingabeblatt 1'!$D$81*(1+'Eingabeblatt 1'!$J$81)^Ergebnis!D82)</f>
        <v>6739.2445766645315</v>
      </c>
      <c r="K82" s="68">
        <f>IF(A82&lt;='Eingabeblatt 1'!$D$18,'Eingabeblatt 1'!$L$15*(1+'Eingabeblatt 1'!$D$15)^D82,"")</f>
        <v>389207.7012033051</v>
      </c>
      <c r="L82" s="68">
        <f>IF(D82&lt;='Eingabeblatt 1'!$D$18,(SUMIFS('Eingabeblatt 2'!$Q$14:$Q$53,'Eingabeblatt 2'!$E$14:$E$53,Ergebnis!D82)+SUMIFS('Eingabeblatt 2'!$Q$14:$Q$53,'Eingabeblatt 2'!$E$14:$E$53,Ergebnis!D62))*(1+'Eingabeblatt 1'!$J$65)^Ergebnis!D82,"")</f>
        <v>371389.65138852032</v>
      </c>
      <c r="M82" s="373">
        <f>IF(A82&lt;='Eingabeblatt 1'!$D$18,SUM(G82:L82)+E82,"")</f>
        <v>-14240299.457312653</v>
      </c>
      <c r="N82" s="83">
        <f>IF(A82&lt;='Eingabeblatt 1'!$D$18,(E82+G82+H82+I82+J82+K82+L82)/(1+'Eingabeblatt 1'!$D$19)^D82,"")</f>
        <v>-4390550.1602212563</v>
      </c>
      <c r="O82" s="419">
        <f>IF(A82&lt;='Eingabeblatt 1'!$D$18,O81+N82,"")</f>
        <v>-74228571.784054577</v>
      </c>
      <c r="P82" s="89"/>
      <c r="Q82" s="89"/>
      <c r="R82" s="93">
        <f>(((40-D82)/40*$Q$52))*('Eingabeblatt 1'!$D$20)+$Q$52/40</f>
        <v>79285.8</v>
      </c>
      <c r="S82" s="93">
        <f>SUMIFS('Eingabeblatt 2'!O14:O36,'Eingabeblatt 2'!E14:E36,30)*(1+'Eingabeblatt 1'!J65)^Ergebnis!D82</f>
        <v>0</v>
      </c>
      <c r="T82" s="93">
        <f>(((30-D53)/30*$S$82))*('Eingabeblatt 1'!$D$20)+$S$82/30</f>
        <v>0</v>
      </c>
      <c r="U82" s="93"/>
      <c r="V82" s="93">
        <f>(((20-D63)/20*$U$72))*('Eingabeblatt 1'!$D$20)+$U$72/20</f>
        <v>933160.01270022127</v>
      </c>
      <c r="W82" s="93">
        <f>(SUMIFS('Eingabeblatt 2'!O14:O36,'Eingabeblatt 2'!E14:E36,10))*(1+'Eingabeblatt 1'!J65)^Ergebnis!D82</f>
        <v>8558505.0657723118</v>
      </c>
      <c r="X82" s="97">
        <f>(((10-D53)/10*$W$82))*('Eingabeblatt 1'!$D$20)+$W$82/10</f>
        <v>1009903.5977611329</v>
      </c>
      <c r="Y82" s="97">
        <f t="shared" si="8"/>
        <v>2022349.4104613541</v>
      </c>
      <c r="Z82" s="89"/>
      <c r="AA82" s="89"/>
      <c r="AB82" s="89"/>
      <c r="AC82" s="89"/>
      <c r="AD82" s="90">
        <v>30</v>
      </c>
      <c r="AE82" s="95">
        <f t="shared" si="0"/>
        <v>-74228571.784054577</v>
      </c>
      <c r="AF82" s="95">
        <f t="shared" si="1"/>
        <v>-82063762.473906413</v>
      </c>
      <c r="AG82" s="95">
        <f t="shared" si="5"/>
        <v>-7835190.6898518354</v>
      </c>
      <c r="AH82" s="96">
        <f t="shared" si="2"/>
        <v>0</v>
      </c>
      <c r="AI82" s="90"/>
      <c r="AJ82" s="90"/>
      <c r="AK82" s="90">
        <f>IF(AE82&gt;0,IF(SUM(AK52:AK81)=0,AD82,0),0)</f>
        <v>0</v>
      </c>
      <c r="AL82" s="90">
        <f>IF(AF82&gt;0,IF(SUM(AL52:AL81)=0,AD82,0),0)</f>
        <v>0</v>
      </c>
      <c r="AM82" s="89"/>
      <c r="AN82" s="89"/>
      <c r="AO82" s="93">
        <f t="shared" si="3"/>
        <v>-2818949.1104588602</v>
      </c>
      <c r="AP82" s="93">
        <f t="shared" si="4"/>
        <v>-2731681.9537074426</v>
      </c>
      <c r="AQ82" s="93">
        <f t="shared" si="6"/>
        <v>-87267.156751417555</v>
      </c>
      <c r="AR82" s="89"/>
      <c r="AS82" s="89"/>
      <c r="AT82" s="89"/>
      <c r="AU82" s="89"/>
      <c r="AV82" s="89"/>
      <c r="AW82" s="89"/>
      <c r="AX82" s="89"/>
      <c r="AY82" s="87"/>
      <c r="AZ82" s="87"/>
      <c r="BA82" s="87"/>
      <c r="BB82" s="87"/>
      <c r="BC82" s="87"/>
      <c r="BD82" s="87"/>
      <c r="BE82" s="87"/>
      <c r="BF82" s="87"/>
      <c r="BG82" s="87"/>
      <c r="BH82" s="87"/>
      <c r="BI82" s="87"/>
      <c r="BJ82" s="87"/>
      <c r="BK82" s="87"/>
      <c r="BL82" s="87"/>
      <c r="BM82" s="87"/>
      <c r="BN82" s="87"/>
      <c r="BO82" s="87"/>
      <c r="BP82" s="87"/>
      <c r="BQ82" s="87"/>
      <c r="BR82" s="87"/>
      <c r="BS82" s="87"/>
      <c r="BT82" s="87"/>
      <c r="BU82" s="87"/>
      <c r="BV82" s="87"/>
      <c r="BW82" s="87"/>
      <c r="BX82" s="87"/>
      <c r="BY82" s="87"/>
      <c r="BZ82" s="87"/>
      <c r="CA82" s="87"/>
      <c r="CB82" s="87"/>
      <c r="CC82" s="87"/>
      <c r="CD82" s="87"/>
      <c r="CE82" s="87"/>
      <c r="CF82" s="87"/>
      <c r="CG82" s="87"/>
      <c r="CH82" s="87"/>
      <c r="CI82" s="87"/>
      <c r="CJ82" s="87"/>
      <c r="CK82" s="87"/>
      <c r="CL82" s="87"/>
      <c r="CM82" s="87"/>
      <c r="CN82" s="87"/>
      <c r="CO82" s="87"/>
      <c r="CP82" s="87"/>
      <c r="CQ82" s="87"/>
      <c r="CR82" s="87"/>
      <c r="CS82" s="87"/>
      <c r="CT82" s="87"/>
      <c r="CU82" s="87"/>
      <c r="CV82" s="87"/>
      <c r="CW82" s="87"/>
      <c r="CX82" s="87"/>
    </row>
    <row r="83" spans="1:102" ht="14.25" customHeight="1" x14ac:dyDescent="0.3">
      <c r="A83" s="28">
        <v>31</v>
      </c>
      <c r="C83" s="62">
        <f>IF(A83&lt;='Eingabeblatt 1'!$D$18,C82+1,"")</f>
        <v>2049</v>
      </c>
      <c r="D83" s="63">
        <f>IF(A83&lt;='Eingabeblatt 1'!$D$18,D82+1,"")</f>
        <v>31</v>
      </c>
      <c r="E83" s="64">
        <f>IF(A83&lt;='Eingabeblatt 1'!$D$18,IF(D83='Eingabeblatt 1'!$D$65,-'Eingabeblatt 1'!$L$65*(1+'Eingabeblatt 1'!$J$65)^D83,IF(D83='Eingabeblatt 1'!$D$66,-'Eingabeblatt 1'!$L$66*(1+'Eingabeblatt 1'!$J$66)^D83,IF(D83='Eingabeblatt 1'!$D$67,-'Eingabeblatt 1'!$L$67*(1+'Eingabeblatt 1'!$J$67)^D83,0))),"")</f>
        <v>0</v>
      </c>
      <c r="F83" s="64">
        <f t="shared" si="7"/>
        <v>-1988094.6989281108</v>
      </c>
      <c r="G83" s="65">
        <f>IF(A83&lt;='Eingabeblatt 1'!$D$18,IF(D83='Eingabeblatt 1'!$D$72,-('Eingabeblatt 1'!$L$71+'Eingabeblatt 1'!$L$72)*(1+'Eingabeblatt 1'!$J$71)^Ergebnis!D83,-('Eingabeblatt 1'!$L$71)*(1+'Eingabeblatt 1'!$J$71)^Ergebnis!D83),"")</f>
        <v>-775987.30262987642</v>
      </c>
      <c r="H83" s="66">
        <f>IF(A83&lt;='Eingabeblatt 1'!$D$18,H82*(1+'Eingabeblatt 1'!$J$73),"")</f>
        <v>-614058.93376412091</v>
      </c>
      <c r="I83" s="66">
        <f>IF(A83&lt;='Eingabeblatt 1'!$D$18,(-'Eingabeblatt 1'!$L$75*(1+'Eingabeblatt 1'!$J$75)^Ergebnis!D83)-('Eingabeblatt 1'!$L$76*(1+'Eingabeblatt 1'!$J$76)^Ergebnis!D83)-('Eingabeblatt 1'!$L$77*(1+'Eingabeblatt 1'!$J$77)^Ergebnis!D83),"")</f>
        <v>-203652.77540760726</v>
      </c>
      <c r="J83" s="67">
        <f>IF(A82&lt;='Eingabeblatt 1'!$D$18,'Eingabeblatt 1'!$D$81*(1+'Eingabeblatt 1'!$J$81)^Ergebnis!D83)</f>
        <v>6806.637022431175</v>
      </c>
      <c r="K83" s="68">
        <f>IF(A83&lt;='Eingabeblatt 1'!$D$18,'Eingabeblatt 1'!$L$15*(1+'Eingabeblatt 1'!$D$15)^D83,"")</f>
        <v>404776.00925143727</v>
      </c>
      <c r="L83" s="68">
        <f>IF(D83&lt;='Eingabeblatt 1'!$D$18,(SUMIFS('Eingabeblatt 2'!$Q$14:$Q$53,'Eingabeblatt 2'!$E$14:$E$53,Ergebnis!D83))*(1+'Eingabeblatt 1'!$J$65)^Ergebnis!D83,"")</f>
        <v>0</v>
      </c>
      <c r="M83" s="373">
        <f>IF(A83&lt;='Eingabeblatt 1'!$D$18,SUM(G83:L83)+E83,"")</f>
        <v>-1182116.365527736</v>
      </c>
      <c r="N83" s="83">
        <f>IF(A83&lt;='Eingabeblatt 1'!$D$18,(E83+G83+H83+I83+J83+K83+L83)/(1+'Eingabeblatt 1'!$D$19)^D83,"")</f>
        <v>-350450.522316435</v>
      </c>
      <c r="O83" s="419">
        <f>IF(A83&lt;='Eingabeblatt 1'!$D$18,O82+N83,"")</f>
        <v>-74579022.306371018</v>
      </c>
      <c r="P83" s="89"/>
      <c r="Q83" s="89"/>
      <c r="R83" s="93">
        <f>(((40-D83)/40*$Q$52))*('Eingabeblatt 1'!$D$20)+$Q$52/40</f>
        <v>77964.37</v>
      </c>
      <c r="S83" s="93"/>
      <c r="T83" s="93">
        <f>(((30-D54)/30*$S$82))*('Eingabeblatt 1'!$D$20)+$S$82/30</f>
        <v>0</v>
      </c>
      <c r="U83" s="93"/>
      <c r="V83" s="93">
        <f>(((20-D64)/20*$U$72))*('Eingabeblatt 1'!$D$20)+$U$72/20</f>
        <v>917343.74129852268</v>
      </c>
      <c r="W83" s="93"/>
      <c r="X83" s="97">
        <f>(((10-D54)/10*$W$82))*('Eingabeblatt 1'!$D$20)+$W$82/10</f>
        <v>992786.5876295882</v>
      </c>
      <c r="Y83" s="97">
        <f t="shared" si="8"/>
        <v>1988094.6989281108</v>
      </c>
      <c r="Z83" s="89"/>
      <c r="AA83" s="89"/>
      <c r="AB83" s="89"/>
      <c r="AC83" s="89"/>
      <c r="AD83" s="90">
        <v>31</v>
      </c>
      <c r="AE83" s="95">
        <f t="shared" si="0"/>
        <v>-74579022.306371018</v>
      </c>
      <c r="AF83" s="95">
        <f t="shared" si="1"/>
        <v>-82542538.020065814</v>
      </c>
      <c r="AG83" s="95">
        <f t="shared" si="5"/>
        <v>-7963515.713694796</v>
      </c>
      <c r="AH83" s="96">
        <f t="shared" si="2"/>
        <v>0</v>
      </c>
      <c r="AI83" s="90"/>
      <c r="AJ83" s="90"/>
      <c r="AK83" s="90">
        <f>IF(AE83&gt;0,IF(SUM(AK52:AK82)=0,AD83,0),0)</f>
        <v>0</v>
      </c>
      <c r="AL83" s="90">
        <f>IF(AF83&gt;0,IF(SUM(AL52:AL82)=0,AD83,0),0)</f>
        <v>0</v>
      </c>
      <c r="AM83" s="89"/>
      <c r="AN83" s="89"/>
      <c r="AO83" s="93">
        <f t="shared" si="3"/>
        <v>-3170211.0644558473</v>
      </c>
      <c r="AP83" s="93">
        <f t="shared" si="4"/>
        <v>-2931300.1308465088</v>
      </c>
      <c r="AQ83" s="93">
        <f t="shared" si="6"/>
        <v>-238910.93360933848</v>
      </c>
      <c r="AR83" s="89"/>
      <c r="AS83" s="89"/>
      <c r="AT83" s="89"/>
      <c r="AU83" s="89"/>
      <c r="AV83" s="89"/>
      <c r="AW83" s="89"/>
      <c r="AX83" s="89"/>
      <c r="AY83" s="87"/>
      <c r="AZ83" s="87"/>
      <c r="BA83" s="87"/>
      <c r="BB83" s="87"/>
      <c r="BC83" s="87"/>
      <c r="BD83" s="87"/>
      <c r="BE83" s="87"/>
      <c r="BF83" s="87"/>
      <c r="BG83" s="87"/>
      <c r="BH83" s="87"/>
      <c r="BI83" s="87"/>
      <c r="BJ83" s="87"/>
      <c r="BK83" s="87"/>
      <c r="BL83" s="87"/>
      <c r="BM83" s="87"/>
      <c r="BN83" s="87"/>
      <c r="BO83" s="87"/>
      <c r="BP83" s="87"/>
      <c r="BQ83" s="87"/>
      <c r="BR83" s="87"/>
      <c r="BS83" s="87"/>
      <c r="BT83" s="87"/>
      <c r="BU83" s="87"/>
      <c r="BV83" s="87"/>
      <c r="BW83" s="87"/>
      <c r="BX83" s="87"/>
      <c r="BY83" s="87"/>
      <c r="BZ83" s="87"/>
      <c r="CA83" s="87"/>
      <c r="CB83" s="87"/>
      <c r="CC83" s="87"/>
      <c r="CD83" s="87"/>
      <c r="CE83" s="87"/>
      <c r="CF83" s="87"/>
      <c r="CG83" s="87"/>
      <c r="CH83" s="87"/>
      <c r="CI83" s="87"/>
      <c r="CJ83" s="87"/>
      <c r="CK83" s="87"/>
      <c r="CL83" s="87"/>
      <c r="CM83" s="87"/>
      <c r="CN83" s="87"/>
      <c r="CO83" s="87"/>
      <c r="CP83" s="87"/>
      <c r="CQ83" s="87"/>
      <c r="CR83" s="87"/>
      <c r="CS83" s="87"/>
      <c r="CT83" s="87"/>
      <c r="CU83" s="87"/>
      <c r="CV83" s="87"/>
      <c r="CW83" s="87"/>
      <c r="CX83" s="87"/>
    </row>
    <row r="84" spans="1:102" ht="14.25" customHeight="1" x14ac:dyDescent="0.3">
      <c r="A84" s="28">
        <v>32</v>
      </c>
      <c r="C84" s="62">
        <f>IF(A84&lt;='Eingabeblatt 1'!$D$18,C83+1,"")</f>
        <v>2050</v>
      </c>
      <c r="D84" s="63">
        <f>IF(A84&lt;='Eingabeblatt 1'!$D$18,D83+1,"")</f>
        <v>32</v>
      </c>
      <c r="E84" s="64">
        <f>IF(A84&lt;='Eingabeblatt 1'!$D$18,IF(D84='Eingabeblatt 1'!$D$65,-'Eingabeblatt 1'!$L$65*(1+'Eingabeblatt 1'!$J$65)^D84,IF(D84='Eingabeblatt 1'!$D$66,-'Eingabeblatt 1'!$L$66*(1+'Eingabeblatt 1'!$J$66)^D84,IF(D84='Eingabeblatt 1'!$D$67,-'Eingabeblatt 1'!$L$67*(1+'Eingabeblatt 1'!$J$67)^D84,0))),"")</f>
        <v>0</v>
      </c>
      <c r="F84" s="64">
        <f t="shared" si="7"/>
        <v>-1953839.9873948675</v>
      </c>
      <c r="G84" s="65">
        <f>IF(A84&lt;='Eingabeblatt 1'!$D$18,IF(D84='Eingabeblatt 1'!$D$72,-('Eingabeblatt 1'!$L$71+'Eingabeblatt 1'!$L$72)*(1+'Eingabeblatt 1'!$J$71)^Ergebnis!D84,-('Eingabeblatt 1'!$L$71)*(1+'Eingabeblatt 1'!$J$71)^Ergebnis!D84),"")</f>
        <v>-791507.04868247418</v>
      </c>
      <c r="H84" s="66">
        <f>IF(A84&lt;='Eingabeblatt 1'!$D$18,H83*(1+'Eingabeblatt 1'!$J$73),"")</f>
        <v>-627875.25977381365</v>
      </c>
      <c r="I84" s="66">
        <f>IF(A84&lt;='Eingabeblatt 1'!$D$18,(-'Eingabeblatt 1'!$L$75*(1+'Eingabeblatt 1'!$J$75)^Ergebnis!D84)-('Eingabeblatt 1'!$L$76*(1+'Eingabeblatt 1'!$J$76)^Ergebnis!D84)-('Eingabeblatt 1'!$L$77*(1+'Eingabeblatt 1'!$J$77)^Ergebnis!D84),"")</f>
        <v>-204693.14724169413</v>
      </c>
      <c r="J84" s="67">
        <f>IF(A83&lt;='Eingabeblatt 1'!$D$18,'Eingabeblatt 1'!$D$81*(1+'Eingabeblatt 1'!$J$81)^Ergebnis!D84)</f>
        <v>6874.7033926554877</v>
      </c>
      <c r="K84" s="68">
        <f>IF(A84&lt;='Eingabeblatt 1'!$D$18,'Eingabeblatt 1'!$L$15*(1+'Eingabeblatt 1'!$D$15)^D84,"")</f>
        <v>420967.04962149484</v>
      </c>
      <c r="L84" s="68">
        <f>IF(D84&lt;='Eingabeblatt 1'!$D$18,(SUMIFS('Eingabeblatt 2'!$Q$14:$Q$53,'Eingabeblatt 2'!$E$14:$E$53,Ergebnis!D84))*(1+'Eingabeblatt 1'!$J$65)^Ergebnis!D84,"")</f>
        <v>0</v>
      </c>
      <c r="M84" s="373">
        <f>IF(A84&lt;='Eingabeblatt 1'!$D$18,SUM(G84:L84)+E84,"")</f>
        <v>-1196233.7026838316</v>
      </c>
      <c r="N84" s="83">
        <f>IF(A84&lt;='Eingabeblatt 1'!$D$18,(E84+G84+H84+I84+J84+K84+L84)/(1+'Eingabeblatt 1'!$D$19)^D84,"")</f>
        <v>-340995.9151224033</v>
      </c>
      <c r="O84" s="419">
        <f>IF(A84&lt;='Eingabeblatt 1'!$D$18,O83+N84,"")</f>
        <v>-74920018.221493423</v>
      </c>
      <c r="P84" s="89"/>
      <c r="Q84" s="89"/>
      <c r="R84" s="93">
        <f>(((40-D84)/40*$Q$52))*('Eingabeblatt 1'!$D$20)+$Q$52/40</f>
        <v>76642.94</v>
      </c>
      <c r="S84" s="93"/>
      <c r="T84" s="93">
        <f>(((30-D55)/30*$S$82))*('Eingabeblatt 1'!$D$20)+$S$82/30</f>
        <v>0</v>
      </c>
      <c r="U84" s="93"/>
      <c r="V84" s="93">
        <f>(((20-D65)/20*$U$72))*('Eingabeblatt 1'!$D$20)+$U$72/20</f>
        <v>901527.46989682398</v>
      </c>
      <c r="W84" s="93"/>
      <c r="X84" s="97">
        <f>(((10-D55)/10*$W$82))*('Eingabeblatt 1'!$D$20)+$W$82/10</f>
        <v>975669.57749804354</v>
      </c>
      <c r="Y84" s="97">
        <f t="shared" si="8"/>
        <v>1953839.9873948675</v>
      </c>
      <c r="Z84" s="89"/>
      <c r="AA84" s="89"/>
      <c r="AB84" s="89"/>
      <c r="AC84" s="89"/>
      <c r="AD84" s="90">
        <v>32</v>
      </c>
      <c r="AE84" s="95">
        <f t="shared" si="0"/>
        <v>-74920018.221493423</v>
      </c>
      <c r="AF84" s="95">
        <f t="shared" si="1"/>
        <v>-83011558.78934662</v>
      </c>
      <c r="AG84" s="95">
        <f t="shared" si="5"/>
        <v>-8091540.5678531975</v>
      </c>
      <c r="AH84" s="96">
        <f t="shared" si="2"/>
        <v>0</v>
      </c>
      <c r="AI84" s="90"/>
      <c r="AJ84" s="90"/>
      <c r="AK84" s="90">
        <f>IF(AE84&gt;0,IF(SUM(AK52:AK83)=0,AD84,0),0)</f>
        <v>0</v>
      </c>
      <c r="AL84" s="90">
        <f>IF(AF84&gt;0,IF(SUM(AL52:AL83)=0,AD84,0),0)</f>
        <v>0</v>
      </c>
      <c r="AM84" s="89"/>
      <c r="AN84" s="89"/>
      <c r="AO84" s="93">
        <f t="shared" si="3"/>
        <v>-3150073.6900786986</v>
      </c>
      <c r="AP84" s="93">
        <f t="shared" si="4"/>
        <v>-2939008.2721278952</v>
      </c>
      <c r="AQ84" s="93">
        <f t="shared" si="6"/>
        <v>-211065.41795080341</v>
      </c>
      <c r="AR84" s="89"/>
      <c r="AS84" s="89"/>
      <c r="AT84" s="89"/>
      <c r="AU84" s="89"/>
      <c r="AV84" s="89"/>
      <c r="AW84" s="89"/>
      <c r="AX84" s="89"/>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row>
    <row r="85" spans="1:102" ht="14.25" customHeight="1" x14ac:dyDescent="0.3">
      <c r="A85" s="28">
        <v>33</v>
      </c>
      <c r="C85" s="62">
        <f>IF(A85&lt;='Eingabeblatt 1'!$D$18,C84+1,"")</f>
        <v>2051</v>
      </c>
      <c r="D85" s="63">
        <f>IF(A85&lt;='Eingabeblatt 1'!$D$18,D84+1,"")</f>
        <v>33</v>
      </c>
      <c r="E85" s="64">
        <f>IF(A85&lt;='Eingabeblatt 1'!$D$18,IF(D85='Eingabeblatt 1'!$D$65,-'Eingabeblatt 1'!$L$65*(1+'Eingabeblatt 1'!$J$65)^D85,IF(D85='Eingabeblatt 1'!$D$66,-'Eingabeblatt 1'!$L$66*(1+'Eingabeblatt 1'!$J$66)^D85,IF(D85='Eingabeblatt 1'!$D$67,-'Eingabeblatt 1'!$L$67*(1+'Eingabeblatt 1'!$J$67)^D85,0))),"")</f>
        <v>0</v>
      </c>
      <c r="F85" s="64">
        <f t="shared" si="7"/>
        <v>-1919585.2758616242</v>
      </c>
      <c r="G85" s="65">
        <f>IF(A85&lt;='Eingabeblatt 1'!$D$18,IF(D85='Eingabeblatt 1'!$D$72,-('Eingabeblatt 1'!$L$71+'Eingabeblatt 1'!$L$72)*(1+'Eingabeblatt 1'!$J$71)^Ergebnis!D85,-('Eingabeblatt 1'!$L$71)*(1+'Eingabeblatt 1'!$J$71)^Ergebnis!D85),"")</f>
        <v>-807337.18965612364</v>
      </c>
      <c r="H85" s="66">
        <f>IF(A85&lt;='Eingabeblatt 1'!$D$18,H84*(1+'Eingabeblatt 1'!$J$73),"")</f>
        <v>-642002.4531187244</v>
      </c>
      <c r="I85" s="66">
        <f>IF(A85&lt;='Eingabeblatt 1'!$D$18,(-'Eingabeblatt 1'!$L$75*(1+'Eingabeblatt 1'!$J$75)^Ergebnis!D85)-('Eingabeblatt 1'!$L$76*(1+'Eingabeblatt 1'!$J$76)^Ergebnis!D85)-('Eingabeblatt 1'!$L$77*(1+'Eingabeblatt 1'!$J$77)^Ergebnis!D85),"")</f>
        <v>-205738.94201452192</v>
      </c>
      <c r="J85" s="67">
        <f>IF(A84&lt;='Eingabeblatt 1'!$D$18,'Eingabeblatt 1'!$D$81*(1+'Eingabeblatt 1'!$J$81)^Ergebnis!D85)</f>
        <v>6943.4504265820433</v>
      </c>
      <c r="K85" s="68">
        <f>IF(A85&lt;='Eingabeblatt 1'!$D$18,'Eingabeblatt 1'!$L$15*(1+'Eingabeblatt 1'!$D$15)^D85,"")</f>
        <v>437805.73160635459</v>
      </c>
      <c r="L85" s="68">
        <f>IF(D85&lt;='Eingabeblatt 1'!$D$18,(SUMIFS('Eingabeblatt 2'!$Q$14:$Q$53,'Eingabeblatt 2'!$E$14:$E$53,Ergebnis!D85))*(1+'Eingabeblatt 1'!$J$65)^Ergebnis!D85,"")</f>
        <v>0</v>
      </c>
      <c r="M85" s="373">
        <f>IF(A85&lt;='Eingabeblatt 1'!$D$18,SUM(G85:L85)+E85,"")</f>
        <v>-1210329.4027564335</v>
      </c>
      <c r="N85" s="83">
        <f>IF(A85&lt;='Eingabeblatt 1'!$D$18,(E85+G85+H85+I85+J85+K85+L85)/(1+'Eingabeblatt 1'!$D$19)^D85,"")</f>
        <v>-331744.23687390552</v>
      </c>
      <c r="O85" s="419">
        <f>IF(A85&lt;='Eingabeblatt 1'!$D$18,O84+N85,"")</f>
        <v>-75251762.458367333</v>
      </c>
      <c r="P85" s="89"/>
      <c r="Q85" s="89"/>
      <c r="R85" s="93">
        <f>(((40-D85)/40*$Q$52))*('Eingabeblatt 1'!$D$20)+$Q$52/40</f>
        <v>75321.509999999995</v>
      </c>
      <c r="S85" s="93"/>
      <c r="T85" s="93">
        <f>(((30-D56)/30*$S$82))*('Eingabeblatt 1'!$D$20)+$S$82/30</f>
        <v>0</v>
      </c>
      <c r="U85" s="93"/>
      <c r="V85" s="93">
        <f>(((20-D66)/20*$U$72))*('Eingabeblatt 1'!$D$20)+$U$72/20</f>
        <v>885711.19849512528</v>
      </c>
      <c r="W85" s="93"/>
      <c r="X85" s="97">
        <f>(((10-D56)/10*$W$82))*('Eingabeblatt 1'!$D$20)+$W$82/10</f>
        <v>958552.56736649899</v>
      </c>
      <c r="Y85" s="97">
        <f t="shared" si="8"/>
        <v>1919585.2758616242</v>
      </c>
      <c r="Z85" s="89"/>
      <c r="AA85" s="89"/>
      <c r="AB85" s="89"/>
      <c r="AC85" s="89"/>
      <c r="AD85" s="90">
        <v>33</v>
      </c>
      <c r="AE85" s="95">
        <f t="shared" si="0"/>
        <v>-75251762.458367333</v>
      </c>
      <c r="AF85" s="95">
        <f t="shared" si="1"/>
        <v>-83471037.163027033</v>
      </c>
      <c r="AG85" s="95">
        <f t="shared" si="5"/>
        <v>-8219274.7046597004</v>
      </c>
      <c r="AH85" s="96">
        <f t="shared" si="2"/>
        <v>0</v>
      </c>
      <c r="AI85" s="90"/>
      <c r="AJ85" s="90"/>
      <c r="AK85" s="90">
        <f>IF(AE85&gt;0,IF(SUM(AK52:AK84)=0,AD85,0),0)</f>
        <v>0</v>
      </c>
      <c r="AL85" s="90">
        <f>IF(AF85&gt;0,IF(SUM(AL52:AL84)=0,AD85,0),0)</f>
        <v>0</v>
      </c>
      <c r="AM85" s="89"/>
      <c r="AN85" s="89"/>
      <c r="AO85" s="93">
        <f t="shared" si="3"/>
        <v>-3129914.6786180572</v>
      </c>
      <c r="AP85" s="93">
        <f t="shared" si="4"/>
        <v>-2947337.5928870784</v>
      </c>
      <c r="AQ85" s="93">
        <f t="shared" si="6"/>
        <v>-182577.08573097875</v>
      </c>
      <c r="AR85" s="89"/>
      <c r="AS85" s="89"/>
      <c r="AT85" s="89"/>
      <c r="AU85" s="89"/>
      <c r="AV85" s="89"/>
      <c r="AW85" s="89"/>
      <c r="AX85" s="89"/>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row>
    <row r="86" spans="1:102" ht="14.25" customHeight="1" x14ac:dyDescent="0.3">
      <c r="A86" s="28">
        <v>34</v>
      </c>
      <c r="C86" s="62">
        <f>IF(A86&lt;='Eingabeblatt 1'!$D$18,C85+1,"")</f>
        <v>2052</v>
      </c>
      <c r="D86" s="63">
        <f>IF(A86&lt;='Eingabeblatt 1'!$D$18,D85+1,"")</f>
        <v>34</v>
      </c>
      <c r="E86" s="64">
        <f>IF(A86&lt;='Eingabeblatt 1'!$D$18,IF(D86='Eingabeblatt 1'!$D$65,-'Eingabeblatt 1'!$L$65*(1+'Eingabeblatt 1'!$J$65)^D86,IF(D86='Eingabeblatt 1'!$D$66,-'Eingabeblatt 1'!$L$66*(1+'Eingabeblatt 1'!$J$66)^D86,IF(D86='Eingabeblatt 1'!$D$67,-'Eingabeblatt 1'!$L$67*(1+'Eingabeblatt 1'!$J$67)^D86,0))),"")</f>
        <v>0</v>
      </c>
      <c r="F86" s="64">
        <f t="shared" si="7"/>
        <v>-1885330.5643283809</v>
      </c>
      <c r="G86" s="65">
        <f>IF(A86&lt;='Eingabeblatt 1'!$D$18,IF(D86='Eingabeblatt 1'!$D$72,-('Eingabeblatt 1'!$L$71+'Eingabeblatt 1'!$L$72)*(1+'Eingabeblatt 1'!$J$71)^Ergebnis!D86,-('Eingabeblatt 1'!$L$71)*(1+'Eingabeblatt 1'!$J$71)^Ergebnis!D86),"")</f>
        <v>-823483.93344924611</v>
      </c>
      <c r="H86" s="66">
        <f>IF(A86&lt;='Eingabeblatt 1'!$D$18,H85*(1+'Eingabeblatt 1'!$J$73),"")</f>
        <v>-656447.50831389567</v>
      </c>
      <c r="I86" s="66">
        <f>IF(A86&lt;='Eingabeblatt 1'!$D$18,(-'Eingabeblatt 1'!$L$75*(1+'Eingabeblatt 1'!$J$75)^Ergebnis!D86)-('Eingabeblatt 1'!$L$76*(1+'Eingabeblatt 1'!$J$76)^Ergebnis!D86)-('Eingabeblatt 1'!$L$77*(1+'Eingabeblatt 1'!$J$77)^Ergebnis!D86),"")</f>
        <v>-206790.18905158003</v>
      </c>
      <c r="J86" s="67">
        <f>IF(A85&lt;='Eingabeblatt 1'!$D$18,'Eingabeblatt 1'!$D$81*(1+'Eingabeblatt 1'!$J$81)^Ergebnis!D86)</f>
        <v>7012.8849308478639</v>
      </c>
      <c r="K86" s="68">
        <f>IF(A86&lt;='Eingabeblatt 1'!$D$18,'Eingabeblatt 1'!$L$15*(1+'Eingabeblatt 1'!$D$15)^D86,"")</f>
        <v>455317.96087060886</v>
      </c>
      <c r="L86" s="68">
        <f>IF(D86&lt;='Eingabeblatt 1'!$D$18,(SUMIFS('Eingabeblatt 2'!$Q$14:$Q$53,'Eingabeblatt 2'!$E$14:$E$53,Ergebnis!D86))*(1+'Eingabeblatt 1'!$J$65)^Ergebnis!D86,"")</f>
        <v>0</v>
      </c>
      <c r="M86" s="373">
        <f>IF(A86&lt;='Eingabeblatt 1'!$D$18,SUM(G86:L86)+E86,"")</f>
        <v>-1224390.785013265</v>
      </c>
      <c r="N86" s="83">
        <f>IF(A86&lt;='Eingabeblatt 1'!$D$18,(E86+G86+H86+I86+J86+K86+L86)/(1+'Eingabeblatt 1'!$D$19)^D86,"")</f>
        <v>-322690.74982382503</v>
      </c>
      <c r="O86" s="419">
        <f>IF(A86&lt;='Eingabeblatt 1'!$D$18,O85+N86,"")</f>
        <v>-75574453.208191156</v>
      </c>
      <c r="P86" s="89"/>
      <c r="Q86" s="89"/>
      <c r="R86" s="93">
        <f>(((40-D86)/40*$Q$52))*('Eingabeblatt 1'!$D$20)+$Q$52/40</f>
        <v>74000.08</v>
      </c>
      <c r="S86" s="93"/>
      <c r="T86" s="93">
        <f>(((30-D57)/30*$S$82))*('Eingabeblatt 1'!$D$20)+$S$82/30</f>
        <v>0</v>
      </c>
      <c r="U86" s="93"/>
      <c r="V86" s="93">
        <f>(((20-D67)/20*$U$72))*('Eingabeblatt 1'!$D$20)+$U$72/20</f>
        <v>869894.9270934267</v>
      </c>
      <c r="W86" s="93"/>
      <c r="X86" s="97">
        <f>(((10-D57)/10*$W$82))*('Eingabeblatt 1'!$D$20)+$W$82/10</f>
        <v>941435.55723495432</v>
      </c>
      <c r="Y86" s="97">
        <f t="shared" si="8"/>
        <v>1885330.5643283809</v>
      </c>
      <c r="Z86" s="89"/>
      <c r="AA86" s="89"/>
      <c r="AB86" s="89"/>
      <c r="AC86" s="89"/>
      <c r="AD86" s="90">
        <v>34</v>
      </c>
      <c r="AE86" s="95">
        <f t="shared" si="0"/>
        <v>-75574453.208191156</v>
      </c>
      <c r="AF86" s="95">
        <f t="shared" si="1"/>
        <v>-83921180.518687084</v>
      </c>
      <c r="AG86" s="95">
        <f t="shared" si="5"/>
        <v>-8346727.3104959279</v>
      </c>
      <c r="AH86" s="96">
        <f t="shared" si="2"/>
        <v>0</v>
      </c>
      <c r="AI86" s="90"/>
      <c r="AJ86" s="90"/>
      <c r="AK86" s="90">
        <f>IF(AE86&gt;0,IF(SUM(AK52:AK85)=0,AD86,0),0)</f>
        <v>0</v>
      </c>
      <c r="AL86" s="90">
        <f>IF(AF86&gt;0,IF(SUM(AL52:AL85)=0,AD86,0),0)</f>
        <v>0</v>
      </c>
      <c r="AM86" s="89"/>
      <c r="AN86" s="89"/>
      <c r="AO86" s="93">
        <f t="shared" si="3"/>
        <v>-3109721.3493416463</v>
      </c>
      <c r="AP86" s="93">
        <f t="shared" si="4"/>
        <v>-2956301.1899882127</v>
      </c>
      <c r="AQ86" s="93">
        <f t="shared" si="6"/>
        <v>-153420.15935343364</v>
      </c>
      <c r="AR86" s="89"/>
      <c r="AS86" s="89"/>
      <c r="AT86" s="89"/>
      <c r="AU86" s="89"/>
      <c r="AV86" s="89"/>
      <c r="AW86" s="89"/>
      <c r="AX86" s="89"/>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87"/>
      <c r="CH86" s="87"/>
      <c r="CI86" s="87"/>
      <c r="CJ86" s="87"/>
      <c r="CK86" s="87"/>
      <c r="CL86" s="87"/>
      <c r="CM86" s="87"/>
      <c r="CN86" s="87"/>
      <c r="CO86" s="87"/>
      <c r="CP86" s="87"/>
      <c r="CQ86" s="87"/>
      <c r="CR86" s="87"/>
      <c r="CS86" s="87"/>
      <c r="CT86" s="87"/>
      <c r="CU86" s="87"/>
      <c r="CV86" s="87"/>
      <c r="CW86" s="87"/>
      <c r="CX86" s="87"/>
    </row>
    <row r="87" spans="1:102" ht="14.25" customHeight="1" x14ac:dyDescent="0.3">
      <c r="A87" s="28">
        <v>35</v>
      </c>
      <c r="C87" s="62">
        <f>IF(A87&lt;='Eingabeblatt 1'!$D$18,C86+1,"")</f>
        <v>2053</v>
      </c>
      <c r="D87" s="63">
        <f>IF(A87&lt;='Eingabeblatt 1'!$D$18,D86+1,"")</f>
        <v>35</v>
      </c>
      <c r="E87" s="64">
        <f>IF(A87&lt;='Eingabeblatt 1'!$D$18,IF(D87='Eingabeblatt 1'!$D$65,-'Eingabeblatt 1'!$L$65*(1+'Eingabeblatt 1'!$J$65)^D87,IF(D87='Eingabeblatt 1'!$D$66,-'Eingabeblatt 1'!$L$66*(1+'Eingabeblatt 1'!$J$66)^D87,IF(D87='Eingabeblatt 1'!$D$67,-'Eingabeblatt 1'!$L$67*(1+'Eingabeblatt 1'!$J$67)^D87,0))),"")</f>
        <v>0</v>
      </c>
      <c r="F87" s="64">
        <f t="shared" si="7"/>
        <v>-1851075.8527951378</v>
      </c>
      <c r="G87" s="65">
        <f>IF(A87&lt;='Eingabeblatt 1'!$D$18,IF(D87='Eingabeblatt 1'!$D$72,-('Eingabeblatt 1'!$L$71+'Eingabeblatt 1'!$L$72)*(1+'Eingabeblatt 1'!$J$71)^Ergebnis!D87,-('Eingabeblatt 1'!$L$71)*(1+'Eingabeblatt 1'!$J$71)^Ergebnis!D87),"")</f>
        <v>-839953.61211823102</v>
      </c>
      <c r="H87" s="66">
        <f>IF(A87&lt;='Eingabeblatt 1'!$D$18,H86*(1+'Eingabeblatt 1'!$J$73),"")</f>
        <v>-671217.5772509583</v>
      </c>
      <c r="I87" s="66">
        <f>IF(A87&lt;='Eingabeblatt 1'!$D$18,(-'Eingabeblatt 1'!$L$75*(1+'Eingabeblatt 1'!$J$75)^Ergebnis!D87)-('Eingabeblatt 1'!$L$76*(1+'Eingabeblatt 1'!$J$76)^Ergebnis!D87)-('Eingabeblatt 1'!$L$77*(1+'Eingabeblatt 1'!$J$77)^Ergebnis!D87),"")</f>
        <v>-207846.91784709334</v>
      </c>
      <c r="J87" s="67">
        <f>IF(A86&lt;='Eingabeblatt 1'!$D$18,'Eingabeblatt 1'!$D$81*(1+'Eingabeblatt 1'!$J$81)^Ergebnis!D87)</f>
        <v>7083.0137801563405</v>
      </c>
      <c r="K87" s="68">
        <f>IF(A87&lt;='Eingabeblatt 1'!$D$18,'Eingabeblatt 1'!$L$15*(1+'Eingabeblatt 1'!$D$15)^D87,"")</f>
        <v>473530.67930543324</v>
      </c>
      <c r="L87" s="68">
        <f>IF(D87&lt;='Eingabeblatt 1'!$D$18,(SUMIFS('Eingabeblatt 2'!$Q$14:$Q$53,'Eingabeblatt 2'!$E$14:$E$53,Ergebnis!D87))*(1+'Eingabeblatt 1'!$J$65)^Ergebnis!D87,"")</f>
        <v>0</v>
      </c>
      <c r="M87" s="373">
        <f>IF(A87&lt;='Eingabeblatt 1'!$D$18,SUM(G87:L87)+E87,"")</f>
        <v>-1238404.4141306931</v>
      </c>
      <c r="N87" s="83">
        <f>IF(A87&lt;='Eingabeblatt 1'!$D$18,(E87+G87+H87+I87+J87+K87+L87)/(1+'Eingabeblatt 1'!$D$19)^D87,"")</f>
        <v>-313830.83755768399</v>
      </c>
      <c r="O87" s="419">
        <f>IF(A87&lt;='Eingabeblatt 1'!$D$18,O86+N87,"")</f>
        <v>-75888284.045748845</v>
      </c>
      <c r="P87" s="89"/>
      <c r="Q87" s="89"/>
      <c r="R87" s="93">
        <f>(((40-D87)/40*$Q$52))*('Eingabeblatt 1'!$D$20)+$Q$52/40</f>
        <v>72678.649999999994</v>
      </c>
      <c r="S87" s="93"/>
      <c r="T87" s="93">
        <f>(((30-D58)/30*$S$82))*('Eingabeblatt 1'!$D$20)+$S$82/30</f>
        <v>0</v>
      </c>
      <c r="U87" s="93"/>
      <c r="V87" s="93">
        <f>(((20-D68)/20*$U$72))*('Eingabeblatt 1'!$D$20)+$U$72/20</f>
        <v>854078.655691728</v>
      </c>
      <c r="W87" s="93"/>
      <c r="X87" s="97">
        <f>(((10-D58)/10*$W$82))*('Eingabeblatt 1'!$D$20)+$W$82/10</f>
        <v>924318.54710340977</v>
      </c>
      <c r="Y87" s="97">
        <f t="shared" si="8"/>
        <v>1851075.8527951378</v>
      </c>
      <c r="Z87" s="89"/>
      <c r="AA87" s="89"/>
      <c r="AB87" s="89"/>
      <c r="AC87" s="89"/>
      <c r="AD87" s="90">
        <v>35</v>
      </c>
      <c r="AE87" s="95">
        <f t="shared" si="0"/>
        <v>-75888284.045748845</v>
      </c>
      <c r="AF87" s="95">
        <f t="shared" si="1"/>
        <v>-84362191.358178899</v>
      </c>
      <c r="AG87" s="95">
        <f t="shared" si="5"/>
        <v>-8473907.3124300539</v>
      </c>
      <c r="AH87" s="96">
        <f t="shared" si="2"/>
        <v>0</v>
      </c>
      <c r="AI87" s="90"/>
      <c r="AJ87" s="90"/>
      <c r="AK87" s="90">
        <f>IF(AE87&gt;0,IF(SUM(AK52:AK86)=0,AD87,0),0)</f>
        <v>0</v>
      </c>
      <c r="AL87" s="90">
        <f>IF(AF87&gt;0,IF(SUM(AL52:AL86)=0,AD87,0),0)</f>
        <v>0</v>
      </c>
      <c r="AM87" s="89"/>
      <c r="AN87" s="89"/>
      <c r="AO87" s="93">
        <f t="shared" si="3"/>
        <v>-3089480.2669258309</v>
      </c>
      <c r="AP87" s="93">
        <f t="shared" si="4"/>
        <v>-2965912.4400468371</v>
      </c>
      <c r="AQ87" s="93">
        <f t="shared" si="6"/>
        <v>-123567.82687899377</v>
      </c>
      <c r="AR87" s="89"/>
      <c r="AS87" s="89"/>
      <c r="AT87" s="89"/>
      <c r="AU87" s="89"/>
      <c r="AV87" s="89"/>
      <c r="AW87" s="89"/>
      <c r="AX87" s="89"/>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c r="CP87" s="87"/>
      <c r="CQ87" s="87"/>
      <c r="CR87" s="87"/>
      <c r="CS87" s="87"/>
      <c r="CT87" s="87"/>
      <c r="CU87" s="87"/>
      <c r="CV87" s="87"/>
      <c r="CW87" s="87"/>
      <c r="CX87" s="87"/>
    </row>
    <row r="88" spans="1:102" ht="14.25" customHeight="1" x14ac:dyDescent="0.3">
      <c r="A88" s="28">
        <v>36</v>
      </c>
      <c r="C88" s="62">
        <f>IF(A88&lt;='Eingabeblatt 1'!$D$18,C87+1,"")</f>
        <v>2054</v>
      </c>
      <c r="D88" s="63">
        <f>IF(A88&lt;='Eingabeblatt 1'!$D$18,D87+1,"")</f>
        <v>36</v>
      </c>
      <c r="E88" s="64">
        <f>IF(A88&lt;='Eingabeblatt 1'!$D$18,IF(D88='Eingabeblatt 1'!$D$65,-'Eingabeblatt 1'!$L$65*(1+'Eingabeblatt 1'!$J$65)^D88,IF(D88='Eingabeblatt 1'!$D$66,-'Eingabeblatt 1'!$L$66*(1+'Eingabeblatt 1'!$J$66)^D88,IF(D88='Eingabeblatt 1'!$D$67,-'Eingabeblatt 1'!$L$67*(1+'Eingabeblatt 1'!$J$67)^D88,0))),"")</f>
        <v>0</v>
      </c>
      <c r="F88" s="64">
        <f t="shared" si="7"/>
        <v>-1816821.1412618943</v>
      </c>
      <c r="G88" s="65">
        <f>IF(A88&lt;='Eingabeblatt 1'!$D$18,IF(D88='Eingabeblatt 1'!$D$72,-('Eingabeblatt 1'!$L$71+'Eingabeblatt 1'!$L$72)*(1+'Eingabeblatt 1'!$J$71)^Ergebnis!D88,-('Eingabeblatt 1'!$L$71)*(1+'Eingabeblatt 1'!$J$71)^Ergebnis!D88),"")</f>
        <v>-856752.68436059554</v>
      </c>
      <c r="H88" s="66">
        <f>IF(A88&lt;='Eingabeblatt 1'!$D$18,H87*(1+'Eingabeblatt 1'!$J$73),"")</f>
        <v>-686319.97273910488</v>
      </c>
      <c r="I88" s="66">
        <f>IF(A88&lt;='Eingabeblatt 1'!$D$18,(-'Eingabeblatt 1'!$L$75*(1+'Eingabeblatt 1'!$J$75)^Ergebnis!D88)-('Eingabeblatt 1'!$L$76*(1+'Eingabeblatt 1'!$J$76)^Ergebnis!D88)-('Eingabeblatt 1'!$L$77*(1+'Eingabeblatt 1'!$J$77)^Ergebnis!D88),"")</f>
        <v>-208909.15806508664</v>
      </c>
      <c r="J88" s="67">
        <f>IF(A87&lt;='Eingabeblatt 1'!$D$18,'Eingabeblatt 1'!$D$81*(1+'Eingabeblatt 1'!$J$81)^Ergebnis!D88)</f>
        <v>7153.8439179579045</v>
      </c>
      <c r="K88" s="68">
        <f>IF(A88&lt;='Eingabeblatt 1'!$D$18,'Eingabeblatt 1'!$L$15*(1+'Eingabeblatt 1'!$D$15)^D88,"")</f>
        <v>492471.90647765051</v>
      </c>
      <c r="L88" s="68">
        <f>IF(D88&lt;='Eingabeblatt 1'!$D$18,(SUMIFS('Eingabeblatt 2'!$Q$14:$Q$53,'Eingabeblatt 2'!$E$14:$E$53,Ergebnis!D88))*(1+'Eingabeblatt 1'!$J$65)^Ergebnis!D88,"")</f>
        <v>0</v>
      </c>
      <c r="M88" s="373">
        <f>IF(A88&lt;='Eingabeblatt 1'!$D$18,SUM(G88:L88)+E88,"")</f>
        <v>-1252356.0647691786</v>
      </c>
      <c r="N88" s="83">
        <f>IF(A88&lt;='Eingabeblatt 1'!$D$18,(E88+G88+H88+I88+J88+K88+L88)/(1+'Eingabeblatt 1'!$D$19)^D88,"")</f>
        <v>-305160.00160736399</v>
      </c>
      <c r="O88" s="419">
        <f>IF(A88&lt;='Eingabeblatt 1'!$D$18,O87+N88,"")</f>
        <v>-76193444.047356203</v>
      </c>
      <c r="P88" s="89"/>
      <c r="Q88" s="89"/>
      <c r="R88" s="93">
        <f>(((40-D88)/40*$Q$52))*('Eingabeblatt 1'!$D$20)+$Q$52/40</f>
        <v>71357.22</v>
      </c>
      <c r="S88" s="93"/>
      <c r="T88" s="93">
        <f>(((30-D59)/30*$S$82))*('Eingabeblatt 1'!$D$20)+$S$82/30</f>
        <v>0</v>
      </c>
      <c r="U88" s="93"/>
      <c r="V88" s="93">
        <f>(((20-D69)/20*$U$72))*('Eingabeblatt 1'!$D$20)+$U$72/20</f>
        <v>838262.38429002929</v>
      </c>
      <c r="W88" s="93"/>
      <c r="X88" s="97">
        <f>(((10-D59)/10*$W$82))*('Eingabeblatt 1'!$D$20)+$W$82/10</f>
        <v>907201.53697186511</v>
      </c>
      <c r="Y88" s="97">
        <f t="shared" si="8"/>
        <v>1816821.1412618943</v>
      </c>
      <c r="Z88" s="89"/>
      <c r="AA88" s="89"/>
      <c r="AB88" s="89"/>
      <c r="AC88" s="89"/>
      <c r="AD88" s="90">
        <v>36</v>
      </c>
      <c r="AE88" s="95">
        <f t="shared" si="0"/>
        <v>-76193444.047356203</v>
      </c>
      <c r="AF88" s="95">
        <f t="shared" si="1"/>
        <v>-84794267.432072341</v>
      </c>
      <c r="AG88" s="95">
        <f t="shared" si="5"/>
        <v>-8600823.3847161382</v>
      </c>
      <c r="AH88" s="96">
        <f t="shared" si="2"/>
        <v>0</v>
      </c>
      <c r="AI88" s="90"/>
      <c r="AJ88" s="90"/>
      <c r="AK88" s="90">
        <f>IF(AE88&gt;0,IF(SUM(AK52:AK87)=0,AD88,0),0)</f>
        <v>0</v>
      </c>
      <c r="AL88" s="90">
        <f>IF(AF88&gt;0,IF(SUM(AL52:AL87)=0,AD88,0),0)</f>
        <v>0</v>
      </c>
      <c r="AM88" s="89"/>
      <c r="AN88" s="89"/>
      <c r="AO88" s="93">
        <f t="shared" si="3"/>
        <v>-3069177.2060310729</v>
      </c>
      <c r="AP88" s="93">
        <f t="shared" si="4"/>
        <v>-2976185.0054473495</v>
      </c>
      <c r="AQ88" s="93">
        <f t="shared" si="6"/>
        <v>-92992.200583723374</v>
      </c>
      <c r="AR88" s="89"/>
      <c r="AS88" s="89"/>
      <c r="AT88" s="89"/>
      <c r="AU88" s="89"/>
      <c r="AV88" s="89"/>
      <c r="AW88" s="89"/>
      <c r="AX88" s="89"/>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87"/>
      <c r="CH88" s="87"/>
      <c r="CI88" s="87"/>
      <c r="CJ88" s="87"/>
      <c r="CK88" s="87"/>
      <c r="CL88" s="87"/>
      <c r="CM88" s="87"/>
      <c r="CN88" s="87"/>
      <c r="CO88" s="87"/>
      <c r="CP88" s="87"/>
      <c r="CQ88" s="87"/>
      <c r="CR88" s="87"/>
      <c r="CS88" s="87"/>
      <c r="CT88" s="87"/>
      <c r="CU88" s="87"/>
      <c r="CV88" s="87"/>
      <c r="CW88" s="87"/>
      <c r="CX88" s="87"/>
    </row>
    <row r="89" spans="1:102" ht="14.25" customHeight="1" x14ac:dyDescent="0.3">
      <c r="A89" s="28">
        <v>37</v>
      </c>
      <c r="C89" s="62">
        <f>IF(A89&lt;='Eingabeblatt 1'!$D$18,C88+1,"")</f>
        <v>2055</v>
      </c>
      <c r="D89" s="63">
        <f>IF(A89&lt;='Eingabeblatt 1'!$D$18,D88+1,"")</f>
        <v>37</v>
      </c>
      <c r="E89" s="64">
        <f>IF(A89&lt;='Eingabeblatt 1'!$D$18,IF(D89='Eingabeblatt 1'!$D$65,-'Eingabeblatt 1'!$L$65*(1+'Eingabeblatt 1'!$J$65)^D89,IF(D89='Eingabeblatt 1'!$D$66,-'Eingabeblatt 1'!$L$66*(1+'Eingabeblatt 1'!$J$66)^D89,IF(D89='Eingabeblatt 1'!$D$67,-'Eingabeblatt 1'!$L$67*(1+'Eingabeblatt 1'!$J$67)^D89,0))),"")</f>
        <v>0</v>
      </c>
      <c r="F89" s="64">
        <f t="shared" si="7"/>
        <v>-1782566.429728651</v>
      </c>
      <c r="G89" s="65">
        <f>IF(A89&lt;='Eingabeblatt 1'!$D$18,IF(D89='Eingabeblatt 1'!$D$72,-('Eingabeblatt 1'!$L$71+'Eingabeblatt 1'!$L$72)*(1+'Eingabeblatt 1'!$J$71)^Ergebnis!D89,-('Eingabeblatt 1'!$L$71)*(1+'Eingabeblatt 1'!$J$71)^Ergebnis!D89),"")</f>
        <v>-873887.73804780759</v>
      </c>
      <c r="H89" s="66">
        <f>IF(A89&lt;='Eingabeblatt 1'!$D$18,H88*(1+'Eingabeblatt 1'!$J$73),"")</f>
        <v>-701762.17212573474</v>
      </c>
      <c r="I89" s="66">
        <f>IF(A89&lt;='Eingabeblatt 1'!$D$18,(-'Eingabeblatt 1'!$L$75*(1+'Eingabeblatt 1'!$J$75)^Ergebnis!D89)-('Eingabeblatt 1'!$L$76*(1+'Eingabeblatt 1'!$J$76)^Ergebnis!D89)-('Eingabeblatt 1'!$L$77*(1+'Eingabeblatt 1'!$J$77)^Ergebnis!D89),"")</f>
        <v>-209976.93954045759</v>
      </c>
      <c r="J89" s="67">
        <f>IF(A88&lt;='Eingabeblatt 1'!$D$18,'Eingabeblatt 1'!$D$81*(1+'Eingabeblatt 1'!$J$81)^Ergebnis!D89)</f>
        <v>7225.3823571374842</v>
      </c>
      <c r="K89" s="68">
        <f>IF(A89&lt;='Eingabeblatt 1'!$D$18,'Eingabeblatt 1'!$L$15*(1+'Eingabeblatt 1'!$D$15)^D89,"")</f>
        <v>512170.78273675666</v>
      </c>
      <c r="L89" s="68">
        <f>IF(D89&lt;='Eingabeblatt 1'!$D$18,(SUMIFS('Eingabeblatt 2'!$Q$14:$Q$53,'Eingabeblatt 2'!$E$14:$E$53,Ergebnis!D89))*(1+'Eingabeblatt 1'!$J$65)^Ergebnis!D89,"")</f>
        <v>0</v>
      </c>
      <c r="M89" s="373">
        <f>IF(A89&lt;='Eingabeblatt 1'!$D$18,SUM(G89:L89)+E89,"")</f>
        <v>-1266230.6846201059</v>
      </c>
      <c r="N89" s="83">
        <f>IF(A89&lt;='Eingabeblatt 1'!$D$18,(E89+G89+H89+I89+J89+K89+L89)/(1+'Eingabeblatt 1'!$D$19)^D89,"")</f>
        <v>-296673.85816599795</v>
      </c>
      <c r="O89" s="419">
        <f>IF(A89&lt;='Eingabeblatt 1'!$D$18,O88+N89,"")</f>
        <v>-76490117.905522197</v>
      </c>
      <c r="P89" s="89"/>
      <c r="Q89" s="89"/>
      <c r="R89" s="93">
        <f>(((40-D89)/40*$Q$52))*('Eingabeblatt 1'!$D$20)+$Q$52/40</f>
        <v>70035.789999999994</v>
      </c>
      <c r="S89" s="93"/>
      <c r="T89" s="93">
        <f>(((30-D60)/30*$S$82))*('Eingabeblatt 1'!$D$20)+$S$82/30</f>
        <v>0</v>
      </c>
      <c r="U89" s="93"/>
      <c r="V89" s="93">
        <f>(((20-D70)/20*$U$72))*('Eingabeblatt 1'!$D$20)+$U$72/20</f>
        <v>822446.11288833059</v>
      </c>
      <c r="W89" s="93"/>
      <c r="X89" s="97">
        <f>(((10-D60)/10*$W$82))*('Eingabeblatt 1'!$D$20)+$W$82/10</f>
        <v>890084.52684032044</v>
      </c>
      <c r="Y89" s="97">
        <f t="shared" si="8"/>
        <v>1782566.429728651</v>
      </c>
      <c r="Z89" s="89"/>
      <c r="AA89" s="89"/>
      <c r="AB89" s="89"/>
      <c r="AC89" s="89"/>
      <c r="AD89" s="90">
        <v>37</v>
      </c>
      <c r="AE89" s="95">
        <f t="shared" si="0"/>
        <v>-76490117.905522197</v>
      </c>
      <c r="AF89" s="95">
        <f t="shared" si="1"/>
        <v>-85217601.860678941</v>
      </c>
      <c r="AG89" s="95">
        <f t="shared" si="5"/>
        <v>-8727483.9551567435</v>
      </c>
      <c r="AH89" s="96">
        <f t="shared" si="2"/>
        <v>0</v>
      </c>
      <c r="AI89" s="90"/>
      <c r="AJ89" s="90"/>
      <c r="AK89" s="90">
        <f>IF(AE89&gt;0,IF(SUM(AK52:AK88)=0,AD89,0),0)</f>
        <v>0</v>
      </c>
      <c r="AL89" s="90">
        <f>IF(AF89&gt;0,IF(SUM(AL52:AL88)=0,AD89,0),0)</f>
        <v>0</v>
      </c>
      <c r="AM89" s="89"/>
      <c r="AN89" s="89"/>
      <c r="AO89" s="93">
        <f t="shared" si="3"/>
        <v>-3048797.1143487566</v>
      </c>
      <c r="AP89" s="93">
        <f t="shared" si="4"/>
        <v>-2987132.8404905191</v>
      </c>
      <c r="AQ89" s="93">
        <f t="shared" si="6"/>
        <v>-61664.273858237546</v>
      </c>
      <c r="AR89" s="89"/>
      <c r="AS89" s="89"/>
      <c r="AT89" s="89"/>
      <c r="AU89" s="89"/>
      <c r="AV89" s="89"/>
      <c r="AW89" s="89"/>
      <c r="AX89" s="89"/>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87"/>
      <c r="CH89" s="87"/>
      <c r="CI89" s="87"/>
      <c r="CJ89" s="87"/>
      <c r="CK89" s="87"/>
      <c r="CL89" s="87"/>
      <c r="CM89" s="87"/>
      <c r="CN89" s="87"/>
      <c r="CO89" s="87"/>
      <c r="CP89" s="87"/>
      <c r="CQ89" s="87"/>
      <c r="CR89" s="87"/>
      <c r="CS89" s="87"/>
      <c r="CT89" s="87"/>
      <c r="CU89" s="87"/>
      <c r="CV89" s="87"/>
      <c r="CW89" s="87"/>
      <c r="CX89" s="87"/>
    </row>
    <row r="90" spans="1:102" ht="14.25" customHeight="1" x14ac:dyDescent="0.3">
      <c r="A90" s="28">
        <v>38</v>
      </c>
      <c r="C90" s="62">
        <f>IF(A90&lt;='Eingabeblatt 1'!$D$18,C89+1,"")</f>
        <v>2056</v>
      </c>
      <c r="D90" s="63">
        <f>IF(A90&lt;='Eingabeblatt 1'!$D$18,D89+1,"")</f>
        <v>38</v>
      </c>
      <c r="E90" s="64">
        <f>IF(A90&lt;='Eingabeblatt 1'!$D$18,IF(D90='Eingabeblatt 1'!$D$65,-'Eingabeblatt 1'!$L$65*(1+'Eingabeblatt 1'!$J$65)^D90,IF(D90='Eingabeblatt 1'!$D$66,-'Eingabeblatt 1'!$L$66*(1+'Eingabeblatt 1'!$J$66)^D90,IF(D90='Eingabeblatt 1'!$D$67,-'Eingabeblatt 1'!$L$67*(1+'Eingabeblatt 1'!$J$67)^D90,0))),"")</f>
        <v>0</v>
      </c>
      <c r="F90" s="64">
        <f t="shared" si="7"/>
        <v>-1748311.7181954079</v>
      </c>
      <c r="G90" s="65">
        <f>IF(A90&lt;='Eingabeblatt 1'!$D$18,IF(D90='Eingabeblatt 1'!$D$72,-('Eingabeblatt 1'!$L$71+'Eingabeblatt 1'!$L$72)*(1+'Eingabeblatt 1'!$J$71)^Ergebnis!D90,-('Eingabeblatt 1'!$L$71)*(1+'Eingabeblatt 1'!$J$71)^Ergebnis!D90),"")</f>
        <v>-891365.49280876387</v>
      </c>
      <c r="H90" s="66">
        <f>IF(A90&lt;='Eingabeblatt 1'!$D$18,H89*(1+'Eingabeblatt 1'!$J$73),"")</f>
        <v>-717551.82099856378</v>
      </c>
      <c r="I90" s="66">
        <f>IF(A90&lt;='Eingabeblatt 1'!$D$18,(-'Eingabeblatt 1'!$L$75*(1+'Eingabeblatt 1'!$J$75)^Ergebnis!D90)-('Eingabeblatt 1'!$L$76*(1+'Eingabeblatt 1'!$J$76)^Ergebnis!D90)-('Eingabeblatt 1'!$L$77*(1+'Eingabeblatt 1'!$J$77)^Ergebnis!D90),"")</f>
        <v>-211050.29228005584</v>
      </c>
      <c r="J90" s="67">
        <f>IF(A89&lt;='Eingabeblatt 1'!$D$18,'Eingabeblatt 1'!$D$81*(1+'Eingabeblatt 1'!$J$81)^Ergebnis!D90)</f>
        <v>7297.6361807088597</v>
      </c>
      <c r="K90" s="68">
        <f>IF(A90&lt;='Eingabeblatt 1'!$D$18,'Eingabeblatt 1'!$L$15*(1+'Eingabeblatt 1'!$D$15)^D90,"")</f>
        <v>532657.61404622684</v>
      </c>
      <c r="L90" s="68">
        <f>IF(D90&lt;='Eingabeblatt 1'!$D$18,(SUMIFS('Eingabeblatt 2'!$Q$14:$Q$53,'Eingabeblatt 2'!$E$14:$E$53,Ergebnis!D90))*(1+'Eingabeblatt 1'!$J$65)^Ergebnis!D90,"")</f>
        <v>0</v>
      </c>
      <c r="M90" s="373">
        <f>IF(A90&lt;='Eingabeblatt 1'!$D$18,SUM(G90:L90)+E90,"")</f>
        <v>-1280012.355860448</v>
      </c>
      <c r="N90" s="83">
        <f>IF(A90&lt;='Eingabeblatt 1'!$D$18,(E90+G90+H90+I90+J90+K90+L90)/(1+'Eingabeblatt 1'!$D$19)^D90,"")</f>
        <v>-288368.13490086223</v>
      </c>
      <c r="O90" s="419">
        <f>IF(A90&lt;='Eingabeblatt 1'!$D$18,O89+N90,"")</f>
        <v>-76778486.040423065</v>
      </c>
      <c r="P90" s="89"/>
      <c r="Q90" s="89"/>
      <c r="R90" s="93">
        <f>(((40-D90)/40*$Q$52))*('Eingabeblatt 1'!$D$20)+$Q$52/40</f>
        <v>68714.36</v>
      </c>
      <c r="S90" s="93"/>
      <c r="T90" s="93">
        <f>(((30-D61)/30*$S$82))*('Eingabeblatt 1'!$D$20)+$S$82/30</f>
        <v>0</v>
      </c>
      <c r="U90" s="93"/>
      <c r="V90" s="93">
        <f>(((20-D71)/20*$U$72))*('Eingabeblatt 1'!$D$20)+$U$72/20</f>
        <v>806629.84148663201</v>
      </c>
      <c r="W90" s="93"/>
      <c r="X90" s="97">
        <f>(((10-D61)/10*$W$82))*('Eingabeblatt 1'!$D$20)+$W$82/10</f>
        <v>872967.51670877589</v>
      </c>
      <c r="Y90" s="97">
        <f t="shared" si="8"/>
        <v>1748311.7181954079</v>
      </c>
      <c r="Z90" s="89"/>
      <c r="AA90" s="89"/>
      <c r="AB90" s="89"/>
      <c r="AC90" s="89"/>
      <c r="AD90" s="90">
        <v>38</v>
      </c>
      <c r="AE90" s="95">
        <f t="shared" si="0"/>
        <v>-76778486.040423065</v>
      </c>
      <c r="AF90" s="95">
        <f t="shared" si="1"/>
        <v>-85632383.25175409</v>
      </c>
      <c r="AG90" s="95">
        <f t="shared" si="5"/>
        <v>-8853897.2113310248</v>
      </c>
      <c r="AH90" s="96">
        <f t="shared" si="2"/>
        <v>0</v>
      </c>
      <c r="AI90" s="90"/>
      <c r="AJ90" s="90"/>
      <c r="AK90" s="90">
        <f>IF(AE90&gt;0,IF(SUM(AK52:AK89)=0,AD90,0),0)</f>
        <v>0</v>
      </c>
      <c r="AL90" s="90">
        <f>IF(AF90&gt;0,IF(SUM(AL52:AL89)=0,AD90,0),0)</f>
        <v>0</v>
      </c>
      <c r="AM90" s="89"/>
      <c r="AN90" s="89"/>
      <c r="AO90" s="93">
        <f t="shared" si="3"/>
        <v>-3028324.0740558561</v>
      </c>
      <c r="AP90" s="93">
        <f t="shared" si="4"/>
        <v>-2998770.1976738716</v>
      </c>
      <c r="AQ90" s="93">
        <f t="shared" si="6"/>
        <v>-29553.876381984446</v>
      </c>
      <c r="AR90" s="89"/>
      <c r="AS90" s="89"/>
      <c r="AT90" s="89"/>
      <c r="AU90" s="89"/>
      <c r="AV90" s="89"/>
      <c r="AW90" s="89"/>
      <c r="AX90" s="89"/>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row>
    <row r="91" spans="1:102" ht="14.25" customHeight="1" x14ac:dyDescent="0.3">
      <c r="A91" s="28">
        <v>39</v>
      </c>
      <c r="C91" s="62">
        <f>IF(A91&lt;='Eingabeblatt 1'!$D$18,C90+1,"")</f>
        <v>2057</v>
      </c>
      <c r="D91" s="63">
        <f>IF(A91&lt;='Eingabeblatt 1'!$D$18,D90+1,"")</f>
        <v>39</v>
      </c>
      <c r="E91" s="64">
        <f>IF(A91&lt;='Eingabeblatt 1'!$D$18,IF(D91='Eingabeblatt 1'!$D$65,-'Eingabeblatt 1'!$L$65*(1+'Eingabeblatt 1'!$J$65)^D91,IF(D91='Eingabeblatt 1'!$D$66,-'Eingabeblatt 1'!$L$66*(1+'Eingabeblatt 1'!$J$66)^D91,IF(D91='Eingabeblatt 1'!$D$67,-'Eingabeblatt 1'!$L$67*(1+'Eingabeblatt 1'!$J$67)^D91,0))),"")</f>
        <v>0</v>
      </c>
      <c r="F91" s="64">
        <f t="shared" si="7"/>
        <v>-1714057.0066621646</v>
      </c>
      <c r="G91" s="65">
        <f>IF(A91&lt;='Eingabeblatt 1'!$D$18,IF(D91='Eingabeblatt 1'!$D$72,-('Eingabeblatt 1'!$L$71+'Eingabeblatt 1'!$L$72)*(1+'Eingabeblatt 1'!$J$71)^Ergebnis!D91,-('Eingabeblatt 1'!$L$71)*(1+'Eingabeblatt 1'!$J$71)^Ergebnis!D91),"")</f>
        <v>-909192.80266493873</v>
      </c>
      <c r="H91" s="66">
        <f>IF(A91&lt;='Eingabeblatt 1'!$D$18,H90*(1+'Eingabeblatt 1'!$J$73),"")</f>
        <v>-733696.73697103141</v>
      </c>
      <c r="I91" s="66">
        <f>IF(A91&lt;='Eingabeblatt 1'!$D$18,(-'Eingabeblatt 1'!$L$75*(1+'Eingabeblatt 1'!$J$75)^Ergebnis!D91)-('Eingabeblatt 1'!$L$76*(1+'Eingabeblatt 1'!$J$76)^Ergebnis!D91)-('Eingabeblatt 1'!$L$77*(1+'Eingabeblatt 1'!$J$77)^Ergebnis!D91),"")</f>
        <v>-212129.24646377104</v>
      </c>
      <c r="J91" s="67">
        <f>IF(A90&lt;='Eingabeblatt 1'!$D$18,'Eingabeblatt 1'!$D$81*(1+'Eingabeblatt 1'!$J$81)^Ergebnis!D91)</f>
        <v>7370.6125425159462</v>
      </c>
      <c r="K91" s="68">
        <f>IF(A91&lt;='Eingabeblatt 1'!$D$18,'Eingabeblatt 1'!$L$15*(1+'Eingabeblatt 1'!$D$15)^D91,"")</f>
        <v>553963.91860807594</v>
      </c>
      <c r="L91" s="68">
        <f>IF(D91&lt;='Eingabeblatt 1'!$D$18,(SUMIFS('Eingabeblatt 2'!$Q$14:$Q$53,'Eingabeblatt 2'!$E$14:$E$53,Ergebnis!D91))*(1+'Eingabeblatt 1'!$J$65)^Ergebnis!D91,"")</f>
        <v>0</v>
      </c>
      <c r="M91" s="373">
        <f>IF(A91&lt;='Eingabeblatt 1'!$D$18,SUM(G91:L91)+E91,"")</f>
        <v>-1293684.2549491494</v>
      </c>
      <c r="N91" s="83">
        <f>IF(A91&lt;='Eingabeblatt 1'!$D$18,(E91+G91+H91+I91+J91+K91+L91)/(1+'Eingabeblatt 1'!$D$19)^D91,"")</f>
        <v>-280238.66786120093</v>
      </c>
      <c r="O91" s="419">
        <f>IF(A91&lt;='Eingabeblatt 1'!$D$18,O90+N91,"")</f>
        <v>-77058724.708284274</v>
      </c>
      <c r="P91" s="89"/>
      <c r="Q91" s="89"/>
      <c r="R91" s="93">
        <f>(((40-D91)/40*$Q$52))*('Eingabeblatt 1'!$D$20)+$Q$52/40</f>
        <v>67392.929999999993</v>
      </c>
      <c r="S91" s="93"/>
      <c r="T91" s="93">
        <f>(((30-D62)/30*$S$82))*('Eingabeblatt 1'!$D$20)+$S$82/30</f>
        <v>0</v>
      </c>
      <c r="U91" s="93"/>
      <c r="V91" s="93">
        <f>(((20-D72)/20*$U$72))*('Eingabeblatt 1'!$D$20)+$U$72/20</f>
        <v>790813.57008493331</v>
      </c>
      <c r="W91" s="93"/>
      <c r="X91" s="97">
        <f>(((10-D62)/10*$W$82))*('Eingabeblatt 1'!$D$20)+$W$82/10</f>
        <v>855850.50657723122</v>
      </c>
      <c r="Y91" s="97">
        <f t="shared" si="8"/>
        <v>1714057.0066621646</v>
      </c>
      <c r="Z91" s="89"/>
      <c r="AA91" s="89"/>
      <c r="AB91" s="89"/>
      <c r="AC91" s="89"/>
      <c r="AD91" s="90">
        <v>39</v>
      </c>
      <c r="AE91" s="95">
        <f t="shared" si="0"/>
        <v>-77058724.708284274</v>
      </c>
      <c r="AF91" s="95">
        <f t="shared" si="1"/>
        <v>-86038795.814974159</v>
      </c>
      <c r="AG91" s="95">
        <f t="shared" si="5"/>
        <v>-8980071.1066898853</v>
      </c>
      <c r="AH91" s="96">
        <f t="shared" si="2"/>
        <v>0</v>
      </c>
      <c r="AI91" s="90"/>
      <c r="AJ91" s="90"/>
      <c r="AK91" s="90">
        <f>IF(AE91&gt;0,IF(SUM(AK52:AK90)=0,AD91,0),0)</f>
        <v>0</v>
      </c>
      <c r="AL91" s="90">
        <f>IF(AF91&gt;0,IF(SUM(AL52:AL90)=0,AD91,0),0)</f>
        <v>0</v>
      </c>
      <c r="AM91" s="89"/>
      <c r="AN91" s="89"/>
      <c r="AO91" s="93">
        <f t="shared" si="3"/>
        <v>-3007741.2616113136</v>
      </c>
      <c r="AP91" s="93">
        <f t="shared" si="4"/>
        <v>-3011111.6341078198</v>
      </c>
      <c r="AQ91" s="93">
        <f t="shared" si="6"/>
        <v>3370.3724965061992</v>
      </c>
      <c r="AR91" s="89"/>
      <c r="AS91" s="89"/>
      <c r="AT91" s="89"/>
      <c r="AU91" s="89"/>
      <c r="AV91" s="89"/>
      <c r="AW91" s="89"/>
      <c r="AX91" s="89"/>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c r="CQ91" s="87"/>
      <c r="CR91" s="87"/>
      <c r="CS91" s="87"/>
      <c r="CT91" s="87"/>
      <c r="CU91" s="87"/>
      <c r="CV91" s="87"/>
      <c r="CW91" s="87"/>
      <c r="CX91" s="87"/>
    </row>
    <row r="92" spans="1:102" ht="14.25" customHeight="1" x14ac:dyDescent="0.3">
      <c r="A92" s="28">
        <v>40</v>
      </c>
      <c r="C92" s="69">
        <f>IF(A92&lt;='Eingabeblatt 1'!$D$18,C91+1,"")</f>
        <v>2058</v>
      </c>
      <c r="D92" s="70">
        <f>IF(A92&lt;='Eingabeblatt 1'!$D$18,D91+1,"")</f>
        <v>40</v>
      </c>
      <c r="E92" s="71">
        <f>IF(A92&lt;='Eingabeblatt 1'!$D$18,IF(D92='Eingabeblatt 1'!$D$65,-'Eingabeblatt 1'!$L$65*(1+'Eingabeblatt 1'!$J$65)^D92,IF(D92='Eingabeblatt 1'!$D$66,-'Eingabeblatt 1'!$L$66*(1+'Eingabeblatt 1'!$J$66)^D92,IF(D92='Eingabeblatt 1'!$D$67,-'Eingabeblatt 1'!$L$67*(1+'Eingabeblatt 1'!$J$67)^D92,IF(D138='Eingabeblatt 1'!D68,-'Eingabeblatt 1'!X68*(1+'Eingabeblatt 1'!J68)^D138,0)))),"")</f>
        <v>-565810.16380130581</v>
      </c>
      <c r="F92" s="64">
        <f t="shared" si="7"/>
        <v>-1679802.295128921</v>
      </c>
      <c r="G92" s="72">
        <f>IF(A92&lt;='Eingabeblatt 1'!$D$18,IF(D92='Eingabeblatt 1'!$D$72,-('Eingabeblatt 1'!$L$71+'Eingabeblatt 1'!$L$72)*(1+'Eingabeblatt 1'!$J$71)^Ergebnis!D92,-('Eingabeblatt 1'!$L$71)*(1+'Eingabeblatt 1'!$J$71)^Ergebnis!D92),"")</f>
        <v>-927376.65871823777</v>
      </c>
      <c r="H92" s="73">
        <f>IF(A92&lt;='Eingabeblatt 1'!$D$18,H91*(1+'Eingabeblatt 1'!$J$73),"")</f>
        <v>-750204.91355287959</v>
      </c>
      <c r="I92" s="73">
        <f>IF(A92&lt;='Eingabeblatt 1'!$D$18,(-'Eingabeblatt 1'!$L$75*(1+'Eingabeblatt 1'!$J$75)^Ergebnis!D92)-('Eingabeblatt 1'!$L$76*(1+'Eingabeblatt 1'!$J$76)^Ergebnis!D92)-('Eingabeblatt 1'!$L$77*(1+'Eingabeblatt 1'!$J$77)^Ergebnis!D92),"")</f>
        <v>-213213.83244562795</v>
      </c>
      <c r="J92" s="74">
        <f>IF(A91&lt;='Eingabeblatt 1'!$D$18,'Eingabeblatt 1'!$D$81*(1+'Eingabeblatt 1'!$J$81)^Ergebnis!D92)</f>
        <v>7444.3186679411074</v>
      </c>
      <c r="K92" s="75">
        <f>IF(A92&lt;='Eingabeblatt 1'!$D$18,'Eingabeblatt 1'!$L$15*(1+'Eingabeblatt 1'!$D$15)^D92,"")</f>
        <v>576122.47535239917</v>
      </c>
      <c r="L92" s="75">
        <f>IF(D92&lt;='Eingabeblatt 1'!$D$18,(SUMIFS('Eingabeblatt 2'!$Q$14:$Q$53,'Eingabeblatt 2'!$E$14:$E$53,Ergebnis!D72)+SUMIFS('Eingabeblatt 2'!$Q$14:$Q$53,'Eingabeblatt 2'!$E$14:$E$53,Ergebnis!D62)+SUMIFS('Eingabeblatt 2'!$Q$14:$Q$53,'Eingabeblatt 2'!$E$14:$E$53,Ergebnis!D92))*(1+'Eingabeblatt 1'!$J$65)^Ergebnis!D92,"")</f>
        <v>1398060.1074125809</v>
      </c>
      <c r="M92" s="374">
        <f>IF(A92&lt;='Eingabeblatt 1'!$D$18,SUM(G92:L92)+E92,"")</f>
        <v>-474978.66708513012</v>
      </c>
      <c r="N92" s="84">
        <f>IF(A92&lt;='Eingabeblatt 1'!$D$18,(E92+G92+H92+I92+J92+K92+L92)/(1+'Eingabeblatt 1'!$D$19)^D92,"")</f>
        <v>-98932.852802438792</v>
      </c>
      <c r="O92" s="420">
        <f>IF(A92&lt;='Eingabeblatt 1'!$D$18,O91+N92,"")</f>
        <v>-77157657.561086714</v>
      </c>
      <c r="P92" s="89"/>
      <c r="Q92" s="89"/>
      <c r="R92" s="93">
        <f>(((40-D92)/40*$Q$52))*('Eingabeblatt 1'!$D$20)+$Q$52/40</f>
        <v>66071.5</v>
      </c>
      <c r="S92" s="93"/>
      <c r="T92" s="93">
        <f>(((30-D63)/30*$S$82))*('Eingabeblatt 1'!$D$20)+$S$82/30</f>
        <v>0</v>
      </c>
      <c r="U92" s="93"/>
      <c r="V92" s="93">
        <f>(((20-D73)/20*$U$72))*('Eingabeblatt 1'!$D$20)+$U$72/20</f>
        <v>774997.29868323461</v>
      </c>
      <c r="W92" s="93"/>
      <c r="X92" s="97">
        <f>(((10-D63)/10*$W$82))*('Eingabeblatt 1'!$D$20)+$W$82/10</f>
        <v>838733.49644568656</v>
      </c>
      <c r="Y92" s="97">
        <f t="shared" si="8"/>
        <v>1679802.295128921</v>
      </c>
      <c r="Z92" s="89"/>
      <c r="AA92" s="89"/>
      <c r="AB92" s="89"/>
      <c r="AC92" s="89"/>
      <c r="AD92" s="90">
        <v>40</v>
      </c>
      <c r="AE92" s="95">
        <f t="shared" si="0"/>
        <v>-77157657.561086714</v>
      </c>
      <c r="AF92" s="95">
        <f t="shared" si="1"/>
        <v>-86693867.537016481</v>
      </c>
      <c r="AG92" s="95">
        <f t="shared" si="5"/>
        <v>-9536209.9759297669</v>
      </c>
      <c r="AH92" s="96">
        <f t="shared" si="2"/>
        <v>0</v>
      </c>
      <c r="AI92" s="90"/>
      <c r="AJ92" s="90"/>
      <c r="AK92" s="90">
        <f>IF(AE92&gt;0,IF(SUM(AK52:AK91)=0,AD92,0),0)</f>
        <v>0</v>
      </c>
      <c r="AL92" s="90">
        <f>IF(AF92&gt;0,IF(SUM(AL52:AL91)=0,AD92,0),0)</f>
        <v>0</v>
      </c>
      <c r="AM92" s="89"/>
      <c r="AN92" s="89"/>
      <c r="AO92" s="93">
        <f t="shared" si="3"/>
        <v>-1588970.7984127449</v>
      </c>
      <c r="AP92" s="93">
        <f t="shared" si="4"/>
        <v>-2866239.8822258031</v>
      </c>
      <c r="AQ92" s="93">
        <f t="shared" si="6"/>
        <v>1277269.0838130582</v>
      </c>
      <c r="AR92" s="89"/>
      <c r="AS92" s="89"/>
      <c r="AT92" s="89"/>
      <c r="AU92" s="89"/>
      <c r="AV92" s="89"/>
      <c r="AW92" s="89"/>
      <c r="AX92" s="89"/>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87"/>
      <c r="CH92" s="87"/>
      <c r="CI92" s="87"/>
      <c r="CJ92" s="87"/>
      <c r="CK92" s="87"/>
      <c r="CL92" s="87"/>
      <c r="CM92" s="87"/>
      <c r="CN92" s="87"/>
      <c r="CO92" s="87"/>
      <c r="CP92" s="87"/>
      <c r="CQ92" s="87"/>
      <c r="CR92" s="87"/>
      <c r="CS92" s="87"/>
      <c r="CT92" s="87"/>
      <c r="CU92" s="87"/>
      <c r="CV92" s="87"/>
      <c r="CW92" s="87"/>
      <c r="CX92" s="87"/>
    </row>
    <row r="93" spans="1:102" ht="14.25" customHeight="1" x14ac:dyDescent="0.3">
      <c r="A93" s="19"/>
      <c r="C93" s="21"/>
      <c r="D93" s="21"/>
      <c r="E93" s="21"/>
      <c r="F93" s="21"/>
      <c r="G93" s="21"/>
      <c r="H93" s="21"/>
      <c r="I93" s="21"/>
      <c r="J93" s="21"/>
      <c r="K93" s="22">
        <f t="shared" ref="K93:O93" si="9">SUM(K52:K92)</f>
        <v>11854384.35916236</v>
      </c>
      <c r="L93" s="22">
        <f t="shared" si="9"/>
        <v>2920967.212499856</v>
      </c>
      <c r="M93" s="86">
        <f t="shared" si="9"/>
        <v>-131450808.74689899</v>
      </c>
      <c r="N93" s="23">
        <f t="shared" si="9"/>
        <v>-77157657.561086714</v>
      </c>
      <c r="O93" s="23">
        <f t="shared" si="9"/>
        <v>-2312278894.1417565</v>
      </c>
      <c r="P93" s="89"/>
      <c r="Q93" s="89"/>
      <c r="R93" s="89"/>
      <c r="S93" s="89"/>
      <c r="T93" s="89"/>
      <c r="U93" s="89"/>
      <c r="V93" s="89"/>
      <c r="W93" s="89"/>
      <c r="X93" s="90"/>
      <c r="Y93" s="89"/>
      <c r="Z93" s="89"/>
      <c r="AA93" s="89"/>
      <c r="AB93" s="89"/>
      <c r="AC93" s="89"/>
      <c r="AD93" s="89"/>
      <c r="AE93" s="89"/>
      <c r="AF93" s="89"/>
      <c r="AG93" s="90"/>
      <c r="AH93" s="90"/>
      <c r="AI93" s="90"/>
      <c r="AJ93" s="90"/>
      <c r="AK93" s="89"/>
      <c r="AL93" s="89"/>
      <c r="AM93" s="89"/>
      <c r="AN93" s="89"/>
      <c r="AO93" s="89"/>
      <c r="AP93" s="89"/>
      <c r="AQ93" s="89"/>
      <c r="AR93" s="89"/>
      <c r="AS93" s="89"/>
      <c r="AT93" s="89"/>
      <c r="AU93" s="89"/>
      <c r="AV93" s="89"/>
      <c r="AW93" s="89"/>
      <c r="AX93" s="89"/>
      <c r="AY93" s="87"/>
      <c r="AZ93" s="87"/>
      <c r="BA93" s="87"/>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c r="CM93" s="87"/>
      <c r="CN93" s="87"/>
      <c r="CO93" s="87"/>
      <c r="CP93" s="87"/>
      <c r="CQ93" s="87"/>
      <c r="CR93" s="87"/>
      <c r="CS93" s="87"/>
      <c r="CT93" s="87"/>
      <c r="CU93" s="87"/>
      <c r="CV93" s="87"/>
      <c r="CW93" s="87"/>
      <c r="CX93" s="87"/>
    </row>
    <row r="94" spans="1:102" x14ac:dyDescent="0.3">
      <c r="A94" s="19"/>
      <c r="P94" s="89"/>
      <c r="Q94" s="89"/>
      <c r="R94" s="89"/>
      <c r="S94" s="89"/>
      <c r="T94" s="89"/>
      <c r="U94" s="89"/>
      <c r="V94" s="89"/>
      <c r="W94" s="89"/>
      <c r="X94" s="90"/>
      <c r="Y94" s="89"/>
      <c r="Z94" s="89"/>
      <c r="AA94" s="89"/>
      <c r="AB94" s="89"/>
      <c r="AC94" s="89"/>
      <c r="AD94" s="89"/>
      <c r="AE94" s="89"/>
      <c r="AF94" s="89"/>
      <c r="AG94" s="90"/>
      <c r="AH94" s="90"/>
      <c r="AI94" s="90"/>
      <c r="AJ94" s="90"/>
      <c r="AK94" s="89"/>
      <c r="AL94" s="89"/>
      <c r="AM94" s="89"/>
      <c r="AN94" s="89"/>
      <c r="AO94" s="89"/>
      <c r="AP94" s="89"/>
      <c r="AQ94" s="89"/>
      <c r="AR94" s="89"/>
      <c r="AS94" s="89"/>
      <c r="AT94" s="89"/>
      <c r="AU94" s="89"/>
      <c r="AV94" s="89"/>
      <c r="AW94" s="89"/>
      <c r="AX94" s="89"/>
      <c r="AY94" s="87"/>
      <c r="AZ94" s="87"/>
      <c r="BA94" s="87"/>
      <c r="BB94" s="87"/>
      <c r="BC94" s="87"/>
      <c r="BD94" s="87"/>
      <c r="BE94" s="87"/>
      <c r="BF94" s="87"/>
      <c r="BG94" s="87"/>
      <c r="BH94" s="87"/>
      <c r="BI94" s="87"/>
      <c r="BJ94" s="87"/>
      <c r="BK94" s="87"/>
      <c r="BL94" s="87"/>
      <c r="BM94" s="87"/>
      <c r="BN94" s="87"/>
      <c r="BO94" s="87"/>
      <c r="BP94" s="87"/>
      <c r="BQ94" s="87"/>
      <c r="BR94" s="87"/>
      <c r="BS94" s="87"/>
      <c r="BT94" s="87"/>
      <c r="BU94" s="87"/>
      <c r="BV94" s="87"/>
      <c r="BW94" s="87"/>
      <c r="BX94" s="87"/>
      <c r="BY94" s="87"/>
      <c r="BZ94" s="87"/>
      <c r="CA94" s="87"/>
      <c r="CB94" s="87"/>
      <c r="CC94" s="87"/>
      <c r="CD94" s="87"/>
      <c r="CE94" s="87"/>
      <c r="CF94" s="87"/>
      <c r="CG94" s="87"/>
      <c r="CH94" s="87"/>
      <c r="CI94" s="87"/>
      <c r="CJ94" s="87"/>
      <c r="CK94" s="87"/>
      <c r="CL94" s="87"/>
      <c r="CM94" s="87"/>
      <c r="CN94" s="87"/>
      <c r="CO94" s="87"/>
      <c r="CP94" s="87"/>
      <c r="CQ94" s="87"/>
      <c r="CR94" s="87"/>
      <c r="CS94" s="87"/>
      <c r="CT94" s="87"/>
      <c r="CU94" s="87"/>
      <c r="CV94" s="87"/>
      <c r="CW94" s="87"/>
      <c r="CX94" s="87"/>
    </row>
    <row r="95" spans="1:102" x14ac:dyDescent="0.3">
      <c r="A95" s="19"/>
      <c r="F95" s="49"/>
      <c r="P95" s="89"/>
      <c r="Q95" s="89"/>
      <c r="R95" s="89"/>
      <c r="S95" s="89"/>
      <c r="T95" s="89"/>
      <c r="U95" s="89"/>
      <c r="V95" s="89"/>
      <c r="W95" s="89"/>
      <c r="X95" s="90"/>
      <c r="Y95" s="89"/>
      <c r="Z95" s="89"/>
      <c r="AA95" s="89"/>
      <c r="AB95" s="89"/>
      <c r="AC95" s="89"/>
      <c r="AD95" s="89"/>
      <c r="AE95" s="89"/>
      <c r="AF95" s="89"/>
      <c r="AG95" s="90"/>
      <c r="AH95" s="90"/>
      <c r="AI95" s="90"/>
      <c r="AJ95" s="90"/>
      <c r="AK95" s="89"/>
      <c r="AL95" s="89"/>
      <c r="AM95" s="89"/>
      <c r="AN95" s="89"/>
      <c r="AO95" s="89"/>
      <c r="AP95" s="89"/>
      <c r="AQ95" s="89"/>
      <c r="AR95" s="89"/>
      <c r="AS95" s="89"/>
      <c r="AT95" s="89"/>
      <c r="AU95" s="89"/>
      <c r="AV95" s="89"/>
      <c r="AW95" s="89"/>
      <c r="AX95" s="89"/>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87"/>
      <c r="CH95" s="87"/>
      <c r="CI95" s="87"/>
      <c r="CJ95" s="87"/>
      <c r="CK95" s="87"/>
      <c r="CL95" s="87"/>
      <c r="CM95" s="87"/>
      <c r="CN95" s="87"/>
      <c r="CO95" s="87"/>
      <c r="CP95" s="87"/>
      <c r="CQ95" s="87"/>
      <c r="CR95" s="87"/>
      <c r="CS95" s="87"/>
      <c r="CT95" s="87"/>
      <c r="CU95" s="87"/>
      <c r="CV95" s="87"/>
      <c r="CW95" s="87"/>
      <c r="CX95" s="87"/>
    </row>
    <row r="96" spans="1:102" x14ac:dyDescent="0.3">
      <c r="B96" s="20"/>
      <c r="C96" s="486" t="s">
        <v>89</v>
      </c>
      <c r="D96" s="487"/>
      <c r="E96" s="487"/>
      <c r="F96" s="487"/>
      <c r="G96" s="487"/>
      <c r="H96" s="487"/>
      <c r="I96" s="487"/>
      <c r="J96" s="487"/>
      <c r="K96" s="487"/>
      <c r="L96" s="487"/>
      <c r="M96" s="487"/>
      <c r="N96" s="487"/>
      <c r="O96" s="487"/>
      <c r="P96" s="89"/>
      <c r="Q96" s="89"/>
      <c r="R96" s="89"/>
      <c r="S96" s="89"/>
      <c r="T96" s="89"/>
      <c r="U96" s="89"/>
      <c r="V96" s="89"/>
      <c r="W96" s="89"/>
      <c r="X96" s="90"/>
      <c r="Y96" s="89"/>
      <c r="Z96" s="89"/>
      <c r="AA96" s="89"/>
      <c r="AB96" s="89"/>
      <c r="AC96" s="89"/>
      <c r="AD96" s="89"/>
      <c r="AE96" s="89"/>
      <c r="AF96" s="89"/>
      <c r="AG96" s="90"/>
      <c r="AH96" s="90"/>
      <c r="AI96" s="90"/>
      <c r="AJ96" s="90"/>
      <c r="AK96" s="89"/>
      <c r="AL96" s="89"/>
      <c r="AM96" s="89"/>
      <c r="AN96" s="89"/>
      <c r="AO96" s="89"/>
      <c r="AP96" s="89"/>
      <c r="AQ96" s="89"/>
      <c r="AR96" s="89"/>
      <c r="AS96" s="89"/>
      <c r="AT96" s="89"/>
      <c r="AU96" s="89"/>
      <c r="AV96" s="89"/>
      <c r="AW96" s="89"/>
      <c r="AX96" s="89"/>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row>
    <row r="97" spans="1:102" ht="40.799999999999997" x14ac:dyDescent="0.3">
      <c r="B97" s="20"/>
      <c r="C97" s="25" t="s">
        <v>160</v>
      </c>
      <c r="D97" s="25" t="s">
        <v>161</v>
      </c>
      <c r="E97" s="25" t="s">
        <v>162</v>
      </c>
      <c r="F97" s="55" t="s">
        <v>169</v>
      </c>
      <c r="G97" s="25" t="s">
        <v>164</v>
      </c>
      <c r="H97" s="25" t="s">
        <v>165</v>
      </c>
      <c r="I97" s="25" t="s">
        <v>220</v>
      </c>
      <c r="J97" s="27" t="s">
        <v>166</v>
      </c>
      <c r="K97" s="27" t="s">
        <v>167</v>
      </c>
      <c r="L97" s="27" t="s">
        <v>168</v>
      </c>
      <c r="M97" s="413" t="s">
        <v>233</v>
      </c>
      <c r="N97" s="26" t="s">
        <v>217</v>
      </c>
      <c r="O97" s="26" t="s">
        <v>218</v>
      </c>
      <c r="P97" s="89"/>
      <c r="Q97" s="91" t="s">
        <v>44</v>
      </c>
      <c r="R97" s="92" t="s">
        <v>48</v>
      </c>
      <c r="S97" s="91" t="s">
        <v>45</v>
      </c>
      <c r="T97" s="91" t="s">
        <v>49</v>
      </c>
      <c r="U97" s="91" t="s">
        <v>46</v>
      </c>
      <c r="V97" s="91" t="s">
        <v>50</v>
      </c>
      <c r="W97" s="91" t="s">
        <v>47</v>
      </c>
      <c r="X97" s="91" t="s">
        <v>51</v>
      </c>
      <c r="Y97" s="92" t="s">
        <v>41</v>
      </c>
      <c r="Z97" s="89"/>
      <c r="AA97" s="89"/>
      <c r="AB97" s="89"/>
      <c r="AC97" s="89"/>
      <c r="AD97" s="89"/>
      <c r="AE97" s="89"/>
      <c r="AF97" s="89"/>
      <c r="AG97" s="90"/>
      <c r="AH97" s="90"/>
      <c r="AI97" s="90"/>
      <c r="AJ97" s="90"/>
      <c r="AK97" s="89"/>
      <c r="AL97" s="89"/>
      <c r="AM97" s="89"/>
      <c r="AN97" s="89"/>
      <c r="AO97" s="89"/>
      <c r="AP97" s="89"/>
      <c r="AQ97" s="89"/>
      <c r="AR97" s="89"/>
      <c r="AS97" s="89"/>
      <c r="AT97" s="89"/>
      <c r="AU97" s="89"/>
      <c r="AV97" s="89"/>
      <c r="AW97" s="89"/>
      <c r="AX97" s="89"/>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row>
    <row r="98" spans="1:102" x14ac:dyDescent="0.3">
      <c r="A98" s="28">
        <v>0</v>
      </c>
      <c r="B98" s="20"/>
      <c r="C98" s="56">
        <f>IF(A98&lt;='Eingabeblatt 1'!D18,2018,"")</f>
        <v>2018</v>
      </c>
      <c r="D98" s="57">
        <f>IF(A98&lt;='Eingabeblatt 1'!$D$18,0,"")</f>
        <v>0</v>
      </c>
      <c r="E98" s="58">
        <f>IF(A98&lt;='Eingabeblatt 1'!$D$18,IF(D98='Eingabeblatt 1'!D34,-'Eingabeblatt 1'!L34-'Eingabeblatt 2'!I39,-'Eingabeblatt 1'!F33),"")</f>
        <v>-30652634.039999999</v>
      </c>
      <c r="F98" s="58"/>
      <c r="G98" s="58"/>
      <c r="H98" s="58"/>
      <c r="I98" s="58"/>
      <c r="J98" s="59"/>
      <c r="K98" s="60"/>
      <c r="L98" s="81"/>
      <c r="M98" s="61">
        <f>IF(A98&lt;='Eingabeblatt 1'!$D$18,SUM(G98:L98)+E98,"")</f>
        <v>-30652634.039999999</v>
      </c>
      <c r="N98" s="82">
        <f>IF(A98&lt;='Eingabeblatt 1'!$D$18,(E98+G98+I98+H98+J98+K98+L98)/(1+'Eingabeblatt 1'!$D$19)^D98,"")</f>
        <v>-30652634.039999999</v>
      </c>
      <c r="O98" s="418">
        <f>IF(A98&lt;='Eingabeblatt 1'!$D$18,N98,"")</f>
        <v>-30652634.039999999</v>
      </c>
      <c r="P98" s="89"/>
      <c r="Q98" s="93">
        <f>SUMIFS('Eingabeblatt 2'!I14:I37,'Eingabeblatt 2'!E14:E37,40)</f>
        <v>2877000</v>
      </c>
      <c r="R98" s="89"/>
      <c r="S98" s="94">
        <f>SUMIFS('Eingabeblatt 2'!I14:I37,'Eingabeblatt 2'!E14:E37,30)</f>
        <v>0</v>
      </c>
      <c r="T98" s="89"/>
      <c r="U98" s="93">
        <f>SUMIFS('Eingabeblatt 2'!I14:I37,'Eingabeblatt 2'!E14:E37,20)</f>
        <v>9293620</v>
      </c>
      <c r="V98" s="89"/>
      <c r="W98" s="93">
        <f>SUMIFS('Eingabeblatt 2'!I14:I37,'Eingabeblatt 2'!E14:E37,10)</f>
        <v>5969180</v>
      </c>
      <c r="X98" s="90"/>
      <c r="Y98" s="94"/>
      <c r="Z98" s="89"/>
      <c r="AA98" s="89"/>
      <c r="AB98" s="89"/>
      <c r="AC98" s="89"/>
      <c r="AD98" s="89"/>
      <c r="AE98" s="89"/>
      <c r="AF98" s="89"/>
      <c r="AG98" s="90"/>
      <c r="AH98" s="90"/>
      <c r="AI98" s="90"/>
      <c r="AJ98" s="90"/>
      <c r="AK98" s="89"/>
      <c r="AL98" s="89"/>
      <c r="AM98" s="89"/>
      <c r="AN98" s="89"/>
      <c r="AO98" s="89"/>
      <c r="AP98" s="89"/>
      <c r="AQ98" s="89"/>
      <c r="AR98" s="89"/>
      <c r="AS98" s="89"/>
      <c r="AT98" s="89"/>
      <c r="AU98" s="89"/>
      <c r="AV98" s="89"/>
      <c r="AW98" s="89"/>
      <c r="AX98" s="89"/>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row>
    <row r="99" spans="1:102" x14ac:dyDescent="0.3">
      <c r="A99" s="28">
        <v>1</v>
      </c>
      <c r="B99" s="20"/>
      <c r="C99" s="62">
        <f>IF(A99&lt;='Eingabeblatt 1'!$D$18,C98+1,"")</f>
        <v>2019</v>
      </c>
      <c r="D99" s="63">
        <f>IF(A99&lt;='Eingabeblatt 1'!$D$18,D98+1,"")</f>
        <v>1</v>
      </c>
      <c r="E99" s="64">
        <f>IF(A99&lt;='Eingabeblatt 1'!$D$18,IF(D99='Eingabeblatt 1'!$D$34,-'Eingabeblatt 1'!$L$34*(1+'Eingabeblatt 1'!$J$34)^D99,IF(D99='Eingabeblatt 1'!$D$35,-'Eingabeblatt 1'!$L$35*(1+'Eingabeblatt 1'!$J$35)^D99,IF(D99='Eingabeblatt 1'!$D$36,-'Eingabeblatt 1'!$L$36*(1+'Eingabeblatt 1'!$J$36)^D99,0))),"")</f>
        <v>0</v>
      </c>
      <c r="F99" s="64">
        <f>-Y99</f>
        <v>-1473649.52</v>
      </c>
      <c r="G99" s="65">
        <f>IF(A99&lt;='Eingabeblatt 1'!$D$18,IF(D99='Eingabeblatt 1'!$D$41,-('Eingabeblatt 1'!$L$40+'Eingabeblatt 1'!$L$41)*(1+'Eingabeblatt 1'!$J$40)^D99,-('Eingabeblatt 1'!$L$40)*(1+'Eingabeblatt 1'!$J$40)^D99),"")</f>
        <v>-357000</v>
      </c>
      <c r="H99" s="66">
        <f>IF(A99&lt;='Eingabeblatt 1'!$D$18,-'Eingabeblatt 1'!L42,"")</f>
        <v>-350000</v>
      </c>
      <c r="I99" s="66">
        <f>IF(A99&lt;='Eingabeblatt 1'!$D$18,(-'Eingabeblatt 1'!$L$45*(1+'Eingabeblatt 1'!$J$45)^Ergebnis!D99)-('Eingabeblatt 1'!$L$46*(1+'Eingabeblatt 1'!$J$46)^Ergebnis!D99)-('Eingabeblatt 1'!$L$47*(1+'Eingabeblatt 1'!$J$47)^Ergebnis!D99),"")</f>
        <v>-230465.89859999999</v>
      </c>
      <c r="J99" s="67">
        <f>IF(A99&lt;='Eingabeblatt 1'!$D$18,'Eingabeblatt 1'!D50+'Eingabeblatt 1'!D51,"")</f>
        <v>0</v>
      </c>
      <c r="K99" s="68">
        <v>0</v>
      </c>
      <c r="L99" s="68">
        <f>IF(D99&lt;='Eingabeblatt 1'!$D$18,(SUMIFS('Eingabeblatt 2'!$K$14:$K$53,'Eingabeblatt 2'!$E$14:$E$53,Ergebnis!D99))*(1+'Eingabeblatt 1'!$J$34)^Ergebnis!D99,"")</f>
        <v>0</v>
      </c>
      <c r="M99" s="373">
        <f>IF(A99&lt;='Eingabeblatt 1'!$D$18,SUM(G99:L99)+E99,"")</f>
        <v>-937465.89859999996</v>
      </c>
      <c r="N99" s="83">
        <f>IF(A99&lt;='Eingabeblatt 1'!$D$18,(E99+G99+I99+H99+J99+K99+L99)/(1+'Eingabeblatt 1'!$D$19)^D99,"")</f>
        <v>-901409.51788461534</v>
      </c>
      <c r="O99" s="419">
        <f>IF(A99&lt;='Eingabeblatt 1'!$D$18,O98+N99,"")</f>
        <v>-31554043.557884615</v>
      </c>
      <c r="P99" s="89"/>
      <c r="Q99" s="89"/>
      <c r="R99" s="93">
        <f>(((40-D99)/40*$Q$98))*('Eingabeblatt 1'!$D$20)+$Q$98/40</f>
        <v>128026.5</v>
      </c>
      <c r="S99" s="93"/>
      <c r="T99" s="93">
        <f>(((30-D99)/30*$S$98))*('Eingabeblatt 1'!$D$20)+$S$98/30</f>
        <v>0</v>
      </c>
      <c r="U99" s="93"/>
      <c r="V99" s="93">
        <f>(((20-D99)/20*$U$98))*('Eingabeblatt 1'!$D$20)+$U$98/20</f>
        <v>641259.78</v>
      </c>
      <c r="W99" s="93"/>
      <c r="X99" s="93">
        <f>(((10-D99)/10*$W$98))*('Eingabeblatt 1'!$D$20)+$W$98/10</f>
        <v>704363.24</v>
      </c>
      <c r="Y99" s="97">
        <f>R99+T99+V99+X99</f>
        <v>1473649.52</v>
      </c>
      <c r="Z99" s="89"/>
      <c r="AA99" s="89"/>
      <c r="AB99" s="89"/>
      <c r="AC99" s="89"/>
      <c r="AD99" s="89"/>
      <c r="AE99" s="89"/>
      <c r="AF99" s="89"/>
      <c r="AG99" s="90"/>
      <c r="AH99" s="90"/>
      <c r="AI99" s="90"/>
      <c r="AJ99" s="90"/>
      <c r="AK99" s="89"/>
      <c r="AL99" s="89"/>
      <c r="AM99" s="89"/>
      <c r="AN99" s="89"/>
      <c r="AO99" s="89"/>
      <c r="AP99" s="89"/>
      <c r="AQ99" s="89"/>
      <c r="AR99" s="89"/>
      <c r="AS99" s="89"/>
      <c r="AT99" s="89"/>
      <c r="AU99" s="89"/>
      <c r="AV99" s="89"/>
      <c r="AW99" s="89"/>
      <c r="AX99" s="89"/>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87"/>
      <c r="CH99" s="87"/>
      <c r="CI99" s="87"/>
      <c r="CJ99" s="87"/>
      <c r="CK99" s="87"/>
      <c r="CL99" s="87"/>
      <c r="CM99" s="87"/>
      <c r="CN99" s="87"/>
      <c r="CO99" s="87"/>
      <c r="CP99" s="87"/>
      <c r="CQ99" s="87"/>
      <c r="CR99" s="87"/>
      <c r="CS99" s="87"/>
      <c r="CT99" s="87"/>
      <c r="CU99" s="87"/>
      <c r="CV99" s="87"/>
      <c r="CW99" s="87"/>
      <c r="CX99" s="87"/>
    </row>
    <row r="100" spans="1:102" x14ac:dyDescent="0.3">
      <c r="A100" s="28">
        <v>2</v>
      </c>
      <c r="B100" s="24"/>
      <c r="C100" s="62">
        <f>IF(A100&lt;='Eingabeblatt 1'!$D$18,C99+1,"")</f>
        <v>2020</v>
      </c>
      <c r="D100" s="63">
        <f>IF(A100&lt;='Eingabeblatt 1'!$D$18,D99+1,"")</f>
        <v>2</v>
      </c>
      <c r="E100" s="64">
        <f>IF(A100&lt;='Eingabeblatt 1'!$D$18,IF(D100='Eingabeblatt 1'!$D$34,-'Eingabeblatt 1'!$L$34*(1+'Eingabeblatt 1'!$J$34)^D100,IF(D100='Eingabeblatt 1'!$D$35,-'Eingabeblatt 1'!$L$35*(1+'Eingabeblatt 1'!$J$35)^D100,IF(D100='Eingabeblatt 1'!$D$36,-'Eingabeblatt 1'!$L$36*(1+'Eingabeblatt 1'!$J$36)^D100,0))),"")</f>
        <v>0</v>
      </c>
      <c r="F100" s="64">
        <f t="shared" ref="F100:F138" si="10">-Y100</f>
        <v>-1450979.04</v>
      </c>
      <c r="G100" s="65">
        <f>IF(A100&lt;='Eingabeblatt 1'!$D$18,IF(D100='Eingabeblatt 1'!$D$41,-('Eingabeblatt 1'!$L$40+'Eingabeblatt 1'!$L$41)*(1+'Eingabeblatt 1'!$J$40)^D100,-('Eingabeblatt 1'!$L$40)*(1+'Eingabeblatt 1'!$J$40)^D100),"")</f>
        <v>-364140</v>
      </c>
      <c r="H100" s="66">
        <f>IF(A100&lt;='Eingabeblatt 1'!$D$18,H99*(1+'Eingabeblatt 1'!$J$42),"")</f>
        <v>-357875</v>
      </c>
      <c r="I100" s="66">
        <f>IF(A100&lt;='Eingabeblatt 1'!$D$18,(-'Eingabeblatt 1'!$L$45*(1+'Eingabeblatt 1'!$J$45)^Ergebnis!D100)-('Eingabeblatt 1'!$L$46*(1+'Eingabeblatt 1'!$J$46)^Ergebnis!D100)-('Eingabeblatt 1'!$L$47*(1+'Eingabeblatt 1'!$J$47)^Ergebnis!D100),"")</f>
        <v>-232110.77307599998</v>
      </c>
      <c r="J100" s="67">
        <f>IF(A99&lt;='Eingabeblatt 1'!$D$18,'Eingabeblatt 1'!$D$51*(1+'Eingabeblatt 1'!$J$51)^Ergebnis!D100,"")</f>
        <v>0</v>
      </c>
      <c r="K100" s="68">
        <f>K99</f>
        <v>0</v>
      </c>
      <c r="L100" s="68">
        <f>IF(D100&lt;='Eingabeblatt 1'!$D$18,(SUMIFS('Eingabeblatt 2'!$K$14:$K$53,'Eingabeblatt 2'!$E$14:$E$53,Ergebnis!D100))*(1+'Eingabeblatt 1'!$J$34)^Ergebnis!D100,"")</f>
        <v>0</v>
      </c>
      <c r="M100" s="373">
        <f>IF(A100&lt;='Eingabeblatt 1'!$D$18,SUM(G100:L100)+E100,"")</f>
        <v>-954125.77307599992</v>
      </c>
      <c r="N100" s="83">
        <f>IF(A100&lt;='Eingabeblatt 1'!$D$18,(E100+G100+I100+H100+J100+K100+L100)/(1+'Eingabeblatt 1'!$D$19)^D100,"")</f>
        <v>-882142.91149778094</v>
      </c>
      <c r="O100" s="419">
        <f>IF(A100&lt;='Eingabeblatt 1'!$D$18,O99+N100,"")</f>
        <v>-32436186.469382394</v>
      </c>
      <c r="P100" s="89"/>
      <c r="Q100" s="89"/>
      <c r="R100" s="93">
        <f>(((40-D100)/40*$Q$98))*('Eingabeblatt 1'!$D$20)+$Q$98/40</f>
        <v>126588</v>
      </c>
      <c r="S100" s="93"/>
      <c r="T100" s="93">
        <f>(((30-D100)/30*$S$98))*('Eingabeblatt 1'!$D$20)+$S$98/30</f>
        <v>0</v>
      </c>
      <c r="U100" s="93"/>
      <c r="V100" s="93">
        <f>(((20-D100)/20*$U$98))*('Eingabeblatt 1'!$D$20)+$U$98/20</f>
        <v>631966.16</v>
      </c>
      <c r="W100" s="93"/>
      <c r="X100" s="93">
        <f>(((10-D100)/10*$W$98))*('Eingabeblatt 1'!$D$20)+$W$98/10</f>
        <v>692424.88</v>
      </c>
      <c r="Y100" s="97">
        <f t="shared" ref="Y100:Y138" si="11">R100+T100+V100+X100</f>
        <v>1450979.04</v>
      </c>
      <c r="Z100" s="89"/>
      <c r="AA100" s="89"/>
      <c r="AB100" s="89"/>
      <c r="AC100" s="89"/>
      <c r="AD100" s="89"/>
      <c r="AE100" s="89"/>
      <c r="AF100" s="89"/>
      <c r="AG100" s="90"/>
      <c r="AH100" s="90"/>
      <c r="AI100" s="90"/>
      <c r="AJ100" s="90"/>
      <c r="AK100" s="89"/>
      <c r="AL100" s="89"/>
      <c r="AM100" s="89"/>
      <c r="AN100" s="89"/>
      <c r="AO100" s="89"/>
      <c r="AP100" s="89"/>
      <c r="AQ100" s="89"/>
      <c r="AR100" s="89"/>
      <c r="AS100" s="89"/>
      <c r="AT100" s="89"/>
      <c r="AU100" s="89"/>
      <c r="AV100" s="89"/>
      <c r="AW100" s="89"/>
      <c r="AX100" s="89"/>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87"/>
      <c r="CH100" s="87"/>
      <c r="CI100" s="87"/>
      <c r="CJ100" s="87"/>
      <c r="CK100" s="87"/>
      <c r="CL100" s="87"/>
      <c r="CM100" s="87"/>
      <c r="CN100" s="87"/>
      <c r="CO100" s="87"/>
      <c r="CP100" s="87"/>
      <c r="CQ100" s="87"/>
      <c r="CR100" s="87"/>
      <c r="CS100" s="87"/>
      <c r="CT100" s="87"/>
      <c r="CU100" s="87"/>
      <c r="CV100" s="87"/>
      <c r="CW100" s="87"/>
      <c r="CX100" s="87"/>
    </row>
    <row r="101" spans="1:102" x14ac:dyDescent="0.3">
      <c r="A101" s="28">
        <v>3</v>
      </c>
      <c r="B101" s="20"/>
      <c r="C101" s="62">
        <f>IF(A101&lt;='Eingabeblatt 1'!$D$18,C100+1,"")</f>
        <v>2021</v>
      </c>
      <c r="D101" s="63">
        <f>IF(A101&lt;='Eingabeblatt 1'!$D$18,D100+1,"")</f>
        <v>3</v>
      </c>
      <c r="E101" s="64">
        <f>IF(A101&lt;='Eingabeblatt 1'!$D$18,IF(D101='Eingabeblatt 1'!$D$34,-'Eingabeblatt 1'!$L$34*(1+'Eingabeblatt 1'!$J$34)^D101,IF(D101='Eingabeblatt 1'!$D$35,-'Eingabeblatt 1'!$L$35*(1+'Eingabeblatt 1'!$J$35)^D101,IF(D101='Eingabeblatt 1'!$D$36,-'Eingabeblatt 1'!$L$36*(1+'Eingabeblatt 1'!$J$36)^D101,0))),"")</f>
        <v>0</v>
      </c>
      <c r="F101" s="64">
        <f t="shared" si="10"/>
        <v>-1428308.56</v>
      </c>
      <c r="G101" s="65">
        <f>IF(A101&lt;='Eingabeblatt 1'!$D$18,IF(D101='Eingabeblatt 1'!$D$41,-('Eingabeblatt 1'!$L$40+'Eingabeblatt 1'!$L$41)*(1+'Eingabeblatt 1'!$J$40)^D101,-('Eingabeblatt 1'!$L$40)*(1+'Eingabeblatt 1'!$J$40)^D101),"")</f>
        <v>-371422.8</v>
      </c>
      <c r="H101" s="66">
        <f>IF(A101&lt;='Eingabeblatt 1'!$D$18,H100*(1+'Eingabeblatt 1'!$J$42),"")</f>
        <v>-365927.1875</v>
      </c>
      <c r="I101" s="66">
        <f>IF(A101&lt;='Eingabeblatt 1'!$D$18,(-'Eingabeblatt 1'!$L$45*(1+'Eingabeblatt 1'!$J$45)^Ergebnis!D101)-('Eingabeblatt 1'!$L$46*(1+'Eingabeblatt 1'!$J$46)^Ergebnis!D101)-('Eingabeblatt 1'!$L$47*(1+'Eingabeblatt 1'!$J$47)^Ergebnis!D101),"")</f>
        <v>-233768.79737420997</v>
      </c>
      <c r="J101" s="67">
        <f>IF(A100&lt;='Eingabeblatt 1'!$D$18,'Eingabeblatt 1'!$D$51*(1+'Eingabeblatt 1'!$J$51)^Ergebnis!D101,"")</f>
        <v>0</v>
      </c>
      <c r="K101" s="68">
        <f t="shared" ref="K101:K138" si="12">K100</f>
        <v>0</v>
      </c>
      <c r="L101" s="68">
        <f>IF(D101&lt;='Eingabeblatt 1'!$D$18,(SUMIFS('Eingabeblatt 2'!$K$14:$K$53,'Eingabeblatt 2'!$E$14:$E$53,Ergebnis!D101))*(1+'Eingabeblatt 1'!$J$34)^Ergebnis!D101,"")</f>
        <v>0</v>
      </c>
      <c r="M101" s="373">
        <f>IF(A101&lt;='Eingabeblatt 1'!$D$18,SUM(G101:L101)+E101,"")</f>
        <v>-971118.78487421002</v>
      </c>
      <c r="N101" s="83">
        <f>IF(A101&lt;='Eingabeblatt 1'!$D$18,(E101+G101+I101+H101+J101+K101+L101)/(1+'Eingabeblatt 1'!$D$19)^D101,"")</f>
        <v>-863321.06359009608</v>
      </c>
      <c r="O101" s="419">
        <f>IF(A101&lt;='Eingabeblatt 1'!$D$18,O100+N101,"")</f>
        <v>-33299507.532972489</v>
      </c>
      <c r="P101" s="89"/>
      <c r="Q101" s="89"/>
      <c r="R101" s="93">
        <f>(((40-D101)/40*$Q$98))*('Eingabeblatt 1'!$D$20)+$Q$98/40</f>
        <v>125149.5</v>
      </c>
      <c r="S101" s="93"/>
      <c r="T101" s="93">
        <f>(((30-D101)/30*$S$98))*('Eingabeblatt 1'!$D$20)+$S$98/30</f>
        <v>0</v>
      </c>
      <c r="U101" s="93"/>
      <c r="V101" s="93">
        <f>(((20-D101)/20*$U$98))*('Eingabeblatt 1'!$D$20)+$U$98/20</f>
        <v>622672.54</v>
      </c>
      <c r="W101" s="93"/>
      <c r="X101" s="93">
        <f>(((10-D101)/10*$W$98))*('Eingabeblatt 1'!$D$20)+$W$98/10</f>
        <v>680486.52</v>
      </c>
      <c r="Y101" s="97">
        <f t="shared" si="11"/>
        <v>1428308.56</v>
      </c>
      <c r="Z101" s="89"/>
      <c r="AA101" s="89"/>
      <c r="AB101" s="89"/>
      <c r="AC101" s="89"/>
      <c r="AD101" s="89"/>
      <c r="AE101" s="89"/>
      <c r="AF101" s="89"/>
      <c r="AG101" s="90"/>
      <c r="AH101" s="90"/>
      <c r="AI101" s="90"/>
      <c r="AJ101" s="90"/>
      <c r="AK101" s="89"/>
      <c r="AL101" s="89"/>
      <c r="AM101" s="89"/>
      <c r="AN101" s="89"/>
      <c r="AO101" s="89"/>
      <c r="AP101" s="89"/>
      <c r="AQ101" s="89"/>
      <c r="AR101" s="89"/>
      <c r="AS101" s="89"/>
      <c r="AT101" s="89"/>
      <c r="AU101" s="89"/>
      <c r="AV101" s="89"/>
      <c r="AW101" s="89"/>
      <c r="AX101" s="89"/>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87"/>
      <c r="CH101" s="87"/>
      <c r="CI101" s="87"/>
      <c r="CJ101" s="87"/>
      <c r="CK101" s="87"/>
      <c r="CL101" s="87"/>
      <c r="CM101" s="87"/>
      <c r="CN101" s="87"/>
      <c r="CO101" s="87"/>
      <c r="CP101" s="87"/>
      <c r="CQ101" s="87"/>
      <c r="CR101" s="87"/>
      <c r="CS101" s="87"/>
      <c r="CT101" s="87"/>
      <c r="CU101" s="87"/>
      <c r="CV101" s="87"/>
      <c r="CW101" s="87"/>
      <c r="CX101" s="87"/>
    </row>
    <row r="102" spans="1:102" x14ac:dyDescent="0.3">
      <c r="A102" s="28">
        <v>4</v>
      </c>
      <c r="B102" s="20"/>
      <c r="C102" s="62">
        <f>IF(A102&lt;='Eingabeblatt 1'!$D$18,C101+1,"")</f>
        <v>2022</v>
      </c>
      <c r="D102" s="63">
        <f>IF(A102&lt;='Eingabeblatt 1'!$D$18,D101+1,"")</f>
        <v>4</v>
      </c>
      <c r="E102" s="64">
        <f>IF(A102&lt;='Eingabeblatt 1'!$D$18,IF(D102='Eingabeblatt 1'!$D$34,-'Eingabeblatt 1'!$L$34*(1+'Eingabeblatt 1'!$J$34)^D102,IF(D102='Eingabeblatt 1'!$D$35,-'Eingabeblatt 1'!$L$35*(1+'Eingabeblatt 1'!$J$35)^D102,IF(D102='Eingabeblatt 1'!$D$36,-'Eingabeblatt 1'!$L$36*(1+'Eingabeblatt 1'!$J$36)^D102,0))),"")</f>
        <v>0</v>
      </c>
      <c r="F102" s="64">
        <f t="shared" si="10"/>
        <v>-1405638.08</v>
      </c>
      <c r="G102" s="65">
        <f>IF(A102&lt;='Eingabeblatt 1'!$D$18,IF(D102='Eingabeblatt 1'!$D$41,-('Eingabeblatt 1'!$L$40+'Eingabeblatt 1'!$L$41)*(1+'Eingabeblatt 1'!$J$40)^D102,-('Eingabeblatt 1'!$L$40)*(1+'Eingabeblatt 1'!$J$40)^D102),"")</f>
        <v>-378851.25599999999</v>
      </c>
      <c r="H102" s="66">
        <f>IF(A102&lt;='Eingabeblatt 1'!$D$18,H101*(1+'Eingabeblatt 1'!$J$42),"")</f>
        <v>-374160.54921874998</v>
      </c>
      <c r="I102" s="66">
        <f>IF(A102&lt;='Eingabeblatt 1'!$D$18,(-'Eingabeblatt 1'!$L$45*(1+'Eingabeblatt 1'!$J$45)^Ergebnis!D102)-('Eingabeblatt 1'!$L$46*(1+'Eingabeblatt 1'!$J$46)^Ergebnis!D102)-('Eingabeblatt 1'!$L$47*(1+'Eingabeblatt 1'!$J$47)^Ergebnis!D102),"")</f>
        <v>-235440.08649823925</v>
      </c>
      <c r="J102" s="67">
        <f>IF(A101&lt;='Eingabeblatt 1'!$D$18,'Eingabeblatt 1'!$D$51*(1+'Eingabeblatt 1'!$J$51)^Ergebnis!D102,"")</f>
        <v>0</v>
      </c>
      <c r="K102" s="68">
        <f t="shared" si="12"/>
        <v>0</v>
      </c>
      <c r="L102" s="68">
        <f>IF(D102&lt;='Eingabeblatt 1'!$D$18,(SUMIFS('Eingabeblatt 2'!$K$14:$K$53,'Eingabeblatt 2'!$E$14:$E$53,Ergebnis!D102))*(1+'Eingabeblatt 1'!$J$34)^Ergebnis!D102,"")</f>
        <v>0</v>
      </c>
      <c r="M102" s="373">
        <f>IF(A102&lt;='Eingabeblatt 1'!$D$18,SUM(G102:L102)+E102,"")</f>
        <v>-988451.89171698922</v>
      </c>
      <c r="N102" s="83">
        <f>IF(A102&lt;='Eingabeblatt 1'!$D$18,(E102+G102+I102+H102+J102+K102+L102)/(1+'Eingabeblatt 1'!$D$19)^D102,"")</f>
        <v>-844932.81967094296</v>
      </c>
      <c r="O102" s="419">
        <f>IF(A102&lt;='Eingabeblatt 1'!$D$18,O101+N102,"")</f>
        <v>-34144440.35264343</v>
      </c>
      <c r="P102" s="89"/>
      <c r="Q102" s="89"/>
      <c r="R102" s="93">
        <f>(((40-D102)/40*$Q$98))*('Eingabeblatt 1'!$D$20)+$Q$98/40</f>
        <v>123711</v>
      </c>
      <c r="S102" s="93"/>
      <c r="T102" s="93">
        <f>(((30-D102)/30*$S$98))*('Eingabeblatt 1'!$D$20)+$S$98/30</f>
        <v>0</v>
      </c>
      <c r="U102" s="93"/>
      <c r="V102" s="93">
        <f>(((20-D102)/20*$U$98))*('Eingabeblatt 1'!$D$20)+$U$98/20</f>
        <v>613378.92000000004</v>
      </c>
      <c r="W102" s="93"/>
      <c r="X102" s="93">
        <f>(((10-D102)/10*$W$98))*('Eingabeblatt 1'!$D$20)+$W$98/10</f>
        <v>668548.16</v>
      </c>
      <c r="Y102" s="97">
        <f t="shared" si="11"/>
        <v>1405638.08</v>
      </c>
      <c r="Z102" s="89"/>
      <c r="AA102" s="89"/>
      <c r="AB102" s="89"/>
      <c r="AC102" s="89"/>
      <c r="AD102" s="89"/>
      <c r="AE102" s="89"/>
      <c r="AF102" s="89"/>
      <c r="AG102" s="90"/>
      <c r="AH102" s="90"/>
      <c r="AI102" s="90"/>
      <c r="AJ102" s="90"/>
      <c r="AK102" s="89"/>
      <c r="AL102" s="89"/>
      <c r="AM102" s="89"/>
      <c r="AN102" s="89"/>
      <c r="AO102" s="89"/>
      <c r="AP102" s="89"/>
      <c r="AQ102" s="89"/>
      <c r="AR102" s="89"/>
      <c r="AS102" s="89"/>
      <c r="AT102" s="89"/>
      <c r="AU102" s="89"/>
      <c r="AV102" s="89"/>
      <c r="AW102" s="89"/>
      <c r="AX102" s="89"/>
      <c r="AY102" s="87"/>
      <c r="AZ102" s="87"/>
      <c r="BA102" s="87"/>
      <c r="BB102" s="87"/>
      <c r="BC102" s="87"/>
      <c r="BD102" s="87"/>
      <c r="BE102" s="87"/>
      <c r="BF102" s="87"/>
      <c r="BG102" s="87"/>
      <c r="BH102" s="87"/>
      <c r="BI102" s="87"/>
      <c r="BJ102" s="87"/>
      <c r="BK102" s="87"/>
      <c r="BL102" s="87"/>
      <c r="BM102" s="87"/>
      <c r="BN102" s="87"/>
      <c r="BO102" s="87"/>
      <c r="BP102" s="87"/>
      <c r="BQ102" s="87"/>
      <c r="BR102" s="87"/>
      <c r="BS102" s="87"/>
      <c r="BT102" s="87"/>
      <c r="BU102" s="87"/>
      <c r="BV102" s="87"/>
      <c r="BW102" s="87"/>
      <c r="BX102" s="87"/>
      <c r="BY102" s="87"/>
      <c r="BZ102" s="87"/>
      <c r="CA102" s="87"/>
      <c r="CB102" s="87"/>
      <c r="CC102" s="87"/>
      <c r="CD102" s="87"/>
      <c r="CE102" s="87"/>
      <c r="CF102" s="87"/>
      <c r="CG102" s="87"/>
      <c r="CH102" s="87"/>
      <c r="CI102" s="87"/>
      <c r="CJ102" s="87"/>
      <c r="CK102" s="87"/>
      <c r="CL102" s="87"/>
      <c r="CM102" s="87"/>
      <c r="CN102" s="87"/>
      <c r="CO102" s="87"/>
      <c r="CP102" s="87"/>
      <c r="CQ102" s="87"/>
      <c r="CR102" s="87"/>
      <c r="CS102" s="87"/>
      <c r="CT102" s="87"/>
      <c r="CU102" s="87"/>
      <c r="CV102" s="87"/>
      <c r="CW102" s="87"/>
      <c r="CX102" s="87"/>
    </row>
    <row r="103" spans="1:102" x14ac:dyDescent="0.3">
      <c r="A103" s="28">
        <v>5</v>
      </c>
      <c r="B103" s="20"/>
      <c r="C103" s="62">
        <f>IF(A103&lt;='Eingabeblatt 1'!$D$18,C102+1,"")</f>
        <v>2023</v>
      </c>
      <c r="D103" s="63">
        <f>IF(A103&lt;='Eingabeblatt 1'!$D$18,D102+1,"")</f>
        <v>5</v>
      </c>
      <c r="E103" s="64">
        <f>IF(A103&lt;='Eingabeblatt 1'!$D$18,IF(D103='Eingabeblatt 1'!$D$34,-'Eingabeblatt 1'!$L$34*(1+'Eingabeblatt 1'!$J$34)^D103,IF(D103='Eingabeblatt 1'!$D$35,-'Eingabeblatt 1'!$L$35*(1+'Eingabeblatt 1'!$J$35)^D103,IF(D103='Eingabeblatt 1'!$D$36,-'Eingabeblatt 1'!$L$36*(1+'Eingabeblatt 1'!$J$36)^D103,0))),"")</f>
        <v>0</v>
      </c>
      <c r="F103" s="64">
        <f t="shared" si="10"/>
        <v>-1382967.6</v>
      </c>
      <c r="G103" s="65">
        <f>IF(A103&lt;='Eingabeblatt 1'!$D$18,IF(D103='Eingabeblatt 1'!$D$41,-('Eingabeblatt 1'!$L$40+'Eingabeblatt 1'!$L$41)*(1+'Eingabeblatt 1'!$J$40)^D103,-('Eingabeblatt 1'!$L$40)*(1+'Eingabeblatt 1'!$J$40)^D103),"")</f>
        <v>-386428.28112</v>
      </c>
      <c r="H103" s="66">
        <f>IF(A103&lt;='Eingabeblatt 1'!$D$18,H102*(1+'Eingabeblatt 1'!$J$42),"")</f>
        <v>-382579.16157617181</v>
      </c>
      <c r="I103" s="66">
        <f>IF(A103&lt;='Eingabeblatt 1'!$D$18,(-'Eingabeblatt 1'!$L$45*(1+'Eingabeblatt 1'!$J$45)^Ergebnis!D103)-('Eingabeblatt 1'!$L$46*(1+'Eingabeblatt 1'!$J$46)^Ergebnis!D103)-('Eingabeblatt 1'!$L$47*(1+'Eingabeblatt 1'!$J$47)^Ergebnis!D103),"")</f>
        <v>-237124.75651926029</v>
      </c>
      <c r="J103" s="67">
        <f>IF(A102&lt;='Eingabeblatt 1'!$D$18,'Eingabeblatt 1'!$D$51*(1+'Eingabeblatt 1'!$J$51)^Ergebnis!D103,"")</f>
        <v>0</v>
      </c>
      <c r="K103" s="68">
        <f t="shared" si="12"/>
        <v>0</v>
      </c>
      <c r="L103" s="68">
        <f>IF(D103&lt;='Eingabeblatt 1'!$D$18,(SUMIFS('Eingabeblatt 2'!$K$14:$K$53,'Eingabeblatt 2'!$E$14:$E$53,Ergebnis!D103))*(1+'Eingabeblatt 1'!$J$34)^Ergebnis!D103,"")</f>
        <v>0</v>
      </c>
      <c r="M103" s="373">
        <f>IF(A103&lt;='Eingabeblatt 1'!$D$18,SUM(G103:L103)+E103,"")</f>
        <v>-1006132.1992154322</v>
      </c>
      <c r="N103" s="83">
        <f>IF(A103&lt;='Eingabeblatt 1'!$D$18,(E103+G103+I103+H103+J103+K103+L103)/(1+'Eingabeblatt 1'!$D$19)^D103,"")</f>
        <v>-826967.32751856372</v>
      </c>
      <c r="O103" s="419">
        <f>IF(A103&lt;='Eingabeblatt 1'!$D$18,O102+N103,"")</f>
        <v>-34971407.680161998</v>
      </c>
      <c r="P103" s="89"/>
      <c r="Q103" s="89"/>
      <c r="R103" s="93">
        <f>(((40-D103)/40*$Q$98))*('Eingabeblatt 1'!$D$20)+$Q$98/40</f>
        <v>122272.5</v>
      </c>
      <c r="S103" s="93"/>
      <c r="T103" s="93">
        <f>(((30-D103)/30*$S$98))*('Eingabeblatt 1'!$D$20)+$S$98/30</f>
        <v>0</v>
      </c>
      <c r="U103" s="93"/>
      <c r="V103" s="93">
        <f>(((20-D103)/20*$U$98))*('Eingabeblatt 1'!$D$20)+$U$98/20</f>
        <v>604085.30000000005</v>
      </c>
      <c r="W103" s="93"/>
      <c r="X103" s="93">
        <f>(((10-D103)/10*$W$98))*('Eingabeblatt 1'!$D$20)+$W$98/10</f>
        <v>656609.80000000005</v>
      </c>
      <c r="Y103" s="97">
        <f t="shared" si="11"/>
        <v>1382967.6</v>
      </c>
      <c r="Z103" s="89"/>
      <c r="AA103" s="89"/>
      <c r="AB103" s="89"/>
      <c r="AC103" s="89"/>
      <c r="AD103" s="89"/>
      <c r="AE103" s="89"/>
      <c r="AF103" s="89"/>
      <c r="AG103" s="90"/>
      <c r="AH103" s="90"/>
      <c r="AI103" s="90"/>
      <c r="AJ103" s="90"/>
      <c r="AK103" s="89"/>
      <c r="AL103" s="89"/>
      <c r="AM103" s="89"/>
      <c r="AN103" s="89"/>
      <c r="AO103" s="89"/>
      <c r="AP103" s="89"/>
      <c r="AQ103" s="89"/>
      <c r="AR103" s="89"/>
      <c r="AS103" s="89"/>
      <c r="AT103" s="89"/>
      <c r="AU103" s="89"/>
      <c r="AV103" s="89"/>
      <c r="AW103" s="89"/>
      <c r="AX103" s="89"/>
      <c r="AY103" s="87"/>
      <c r="AZ103" s="87"/>
      <c r="BA103" s="87"/>
      <c r="BB103" s="87"/>
      <c r="BC103" s="87"/>
      <c r="BD103" s="87"/>
      <c r="BE103" s="87"/>
      <c r="BF103" s="87"/>
      <c r="BG103" s="87"/>
      <c r="BH103" s="87"/>
      <c r="BI103" s="87"/>
      <c r="BJ103" s="87"/>
      <c r="BK103" s="87"/>
      <c r="BL103" s="87"/>
      <c r="BM103" s="87"/>
      <c r="BN103" s="87"/>
      <c r="BO103" s="87"/>
      <c r="BP103" s="87"/>
      <c r="BQ103" s="87"/>
      <c r="BR103" s="87"/>
      <c r="BS103" s="87"/>
      <c r="BT103" s="87"/>
      <c r="BU103" s="87"/>
      <c r="BV103" s="87"/>
      <c r="BW103" s="87"/>
      <c r="BX103" s="87"/>
      <c r="BY103" s="87"/>
      <c r="BZ103" s="87"/>
      <c r="CA103" s="87"/>
      <c r="CB103" s="87"/>
      <c r="CC103" s="87"/>
      <c r="CD103" s="87"/>
      <c r="CE103" s="87"/>
      <c r="CF103" s="87"/>
      <c r="CG103" s="87"/>
      <c r="CH103" s="87"/>
      <c r="CI103" s="87"/>
      <c r="CJ103" s="87"/>
      <c r="CK103" s="87"/>
      <c r="CL103" s="87"/>
      <c r="CM103" s="87"/>
      <c r="CN103" s="87"/>
      <c r="CO103" s="87"/>
      <c r="CP103" s="87"/>
      <c r="CQ103" s="87"/>
      <c r="CR103" s="87"/>
      <c r="CS103" s="87"/>
      <c r="CT103" s="87"/>
      <c r="CU103" s="87"/>
      <c r="CV103" s="87"/>
      <c r="CW103" s="87"/>
      <c r="CX103" s="87"/>
    </row>
    <row r="104" spans="1:102" x14ac:dyDescent="0.3">
      <c r="A104" s="28">
        <v>6</v>
      </c>
      <c r="B104" s="20"/>
      <c r="C104" s="62">
        <f>IF(A104&lt;='Eingabeblatt 1'!$D$18,C103+1,"")</f>
        <v>2024</v>
      </c>
      <c r="D104" s="63">
        <f>IF(A104&lt;='Eingabeblatt 1'!$D$18,D103+1,"")</f>
        <v>6</v>
      </c>
      <c r="E104" s="64">
        <f>IF(A104&lt;='Eingabeblatt 1'!$D$18,IF(D104='Eingabeblatt 1'!$D$34,-'Eingabeblatt 1'!$L$34*(1+'Eingabeblatt 1'!$J$34)^D104,IF(D104='Eingabeblatt 1'!$D$35,-'Eingabeblatt 1'!$L$35*(1+'Eingabeblatt 1'!$J$35)^D104,IF(D104='Eingabeblatt 1'!$D$36,-'Eingabeblatt 1'!$L$36*(1+'Eingabeblatt 1'!$J$36)^D104,0))),"")</f>
        <v>0</v>
      </c>
      <c r="F104" s="64">
        <f t="shared" si="10"/>
        <v>-1360297.12</v>
      </c>
      <c r="G104" s="65">
        <f>IF(A104&lt;='Eingabeblatt 1'!$D$18,IF(D104='Eingabeblatt 1'!$D$41,-('Eingabeblatt 1'!$L$40+'Eingabeblatt 1'!$L$41)*(1+'Eingabeblatt 1'!$J$40)^D104,-('Eingabeblatt 1'!$L$40)*(1+'Eingabeblatt 1'!$J$40)^D104),"")</f>
        <v>-394156.84674240003</v>
      </c>
      <c r="H104" s="66">
        <f>IF(A104&lt;='Eingabeblatt 1'!$D$18,H103*(1+'Eingabeblatt 1'!$J$42),"")</f>
        <v>-391187.19271163567</v>
      </c>
      <c r="I104" s="66">
        <f>IF(A104&lt;='Eingabeblatt 1'!$D$18,(-'Eingabeblatt 1'!$L$45*(1+'Eingabeblatt 1'!$J$45)^Ergebnis!D104)-('Eingabeblatt 1'!$L$46*(1+'Eingabeblatt 1'!$J$46)^Ergebnis!D104)-('Eingabeblatt 1'!$L$47*(1+'Eingabeblatt 1'!$J$47)^Ergebnis!D104),"")</f>
        <v>-238822.92458627178</v>
      </c>
      <c r="J104" s="67">
        <f>IF(A103&lt;='Eingabeblatt 1'!$D$18,'Eingabeblatt 1'!$D$51*(1+'Eingabeblatt 1'!$J$51)^Ergebnis!D104,"")</f>
        <v>0</v>
      </c>
      <c r="K104" s="68">
        <f t="shared" si="12"/>
        <v>0</v>
      </c>
      <c r="L104" s="68">
        <f>IF(D104&lt;='Eingabeblatt 1'!$D$18,(SUMIFS('Eingabeblatt 2'!$K$14:$K$53,'Eingabeblatt 2'!$E$14:$E$53,Ergebnis!D104))*(1+'Eingabeblatt 1'!$J$34)^Ergebnis!D104,"")</f>
        <v>0</v>
      </c>
      <c r="M104" s="373">
        <f>IF(A104&lt;='Eingabeblatt 1'!$D$18,SUM(G104:L104)+E104,"")</f>
        <v>-1024166.9640403074</v>
      </c>
      <c r="N104" s="83">
        <f>IF(A104&lt;='Eingabeblatt 1'!$D$18,(E104+G104+I104+H104+J104+K104+L104)/(1+'Eingabeblatt 1'!$D$19)^D104,"")</f>
        <v>-809414.02845399885</v>
      </c>
      <c r="O104" s="419">
        <f>IF(A104&lt;='Eingabeblatt 1'!$D$18,O103+N104,"")</f>
        <v>-35780821.708615996</v>
      </c>
      <c r="P104" s="89"/>
      <c r="Q104" s="89"/>
      <c r="R104" s="93">
        <f>(((40-D104)/40*$Q$98))*('Eingabeblatt 1'!$D$20)+$Q$98/40</f>
        <v>120834</v>
      </c>
      <c r="S104" s="93"/>
      <c r="T104" s="93">
        <f>(((30-D104)/30*$S$98))*('Eingabeblatt 1'!$D$20)+$S$98/30</f>
        <v>0</v>
      </c>
      <c r="U104" s="93"/>
      <c r="V104" s="93">
        <f>(((20-D104)/20*$U$98))*('Eingabeblatt 1'!$D$20)+$U$98/20</f>
        <v>594791.68000000005</v>
      </c>
      <c r="W104" s="93"/>
      <c r="X104" s="93">
        <f>(((10-D104)/10*$W$98))*('Eingabeblatt 1'!$D$20)+$W$98/10</f>
        <v>644671.43999999994</v>
      </c>
      <c r="Y104" s="97">
        <f t="shared" si="11"/>
        <v>1360297.12</v>
      </c>
      <c r="Z104" s="89"/>
      <c r="AA104" s="89"/>
      <c r="AB104" s="89"/>
      <c r="AC104" s="89"/>
      <c r="AD104" s="89"/>
      <c r="AE104" s="89"/>
      <c r="AF104" s="89"/>
      <c r="AG104" s="90"/>
      <c r="AH104" s="90"/>
      <c r="AI104" s="90"/>
      <c r="AJ104" s="90"/>
      <c r="AK104" s="89"/>
      <c r="AL104" s="89"/>
      <c r="AM104" s="89"/>
      <c r="AN104" s="89"/>
      <c r="AO104" s="89"/>
      <c r="AP104" s="89"/>
      <c r="AQ104" s="89"/>
      <c r="AR104" s="89"/>
      <c r="AS104" s="89"/>
      <c r="AT104" s="89"/>
      <c r="AU104" s="89"/>
      <c r="AV104" s="89"/>
      <c r="AW104" s="89"/>
      <c r="AX104" s="89"/>
      <c r="AY104" s="87"/>
      <c r="AZ104" s="87"/>
      <c r="BA104" s="87"/>
      <c r="BB104" s="87"/>
      <c r="BC104" s="87"/>
      <c r="BD104" s="87"/>
      <c r="BE104" s="87"/>
      <c r="BF104" s="87"/>
      <c r="BG104" s="87"/>
      <c r="BH104" s="87"/>
      <c r="BI104" s="87"/>
      <c r="BJ104" s="87"/>
      <c r="BK104" s="87"/>
      <c r="BL104" s="87"/>
      <c r="BM104" s="87"/>
      <c r="BN104" s="87"/>
      <c r="BO104" s="87"/>
      <c r="BP104" s="87"/>
      <c r="BQ104" s="87"/>
      <c r="BR104" s="87"/>
      <c r="BS104" s="87"/>
      <c r="BT104" s="87"/>
      <c r="BU104" s="87"/>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c r="CS104" s="87"/>
      <c r="CT104" s="87"/>
      <c r="CU104" s="87"/>
      <c r="CV104" s="87"/>
      <c r="CW104" s="87"/>
      <c r="CX104" s="87"/>
    </row>
    <row r="105" spans="1:102" x14ac:dyDescent="0.3">
      <c r="A105" s="28">
        <v>7</v>
      </c>
      <c r="B105" s="20"/>
      <c r="C105" s="62">
        <f>IF(A105&lt;='Eingabeblatt 1'!$D$18,C104+1,"")</f>
        <v>2025</v>
      </c>
      <c r="D105" s="63">
        <f>IF(A105&lt;='Eingabeblatt 1'!$D$18,D104+1,"")</f>
        <v>7</v>
      </c>
      <c r="E105" s="64">
        <f>IF(A105&lt;='Eingabeblatt 1'!$D$18,IF(D105='Eingabeblatt 1'!$D$34,-'Eingabeblatt 1'!$L$34*(1+'Eingabeblatt 1'!$J$34)^D105,IF(D105='Eingabeblatt 1'!$D$35,-'Eingabeblatt 1'!$L$35*(1+'Eingabeblatt 1'!$J$35)^D105,IF(D105='Eingabeblatt 1'!$D$36,-'Eingabeblatt 1'!$L$36*(1+'Eingabeblatt 1'!$J$36)^D105,0))),"")</f>
        <v>0</v>
      </c>
      <c r="F105" s="64">
        <f t="shared" si="10"/>
        <v>-1337626.6400000001</v>
      </c>
      <c r="G105" s="65">
        <f>IF(A105&lt;='Eingabeblatt 1'!$D$18,IF(D105='Eingabeblatt 1'!$D$41,-('Eingabeblatt 1'!$L$40+'Eingabeblatt 1'!$L$41)*(1+'Eingabeblatt 1'!$J$40)^D105,-('Eingabeblatt 1'!$L$40)*(1+'Eingabeblatt 1'!$J$40)^D105),"")</f>
        <v>-402039.98367724795</v>
      </c>
      <c r="H105" s="66">
        <f>IF(A105&lt;='Eingabeblatt 1'!$D$18,H104*(1+'Eingabeblatt 1'!$J$42),"")</f>
        <v>-399988.90454764746</v>
      </c>
      <c r="I105" s="66">
        <f>IF(A105&lt;='Eingabeblatt 1'!$D$18,(-'Eingabeblatt 1'!$L$45*(1+'Eingabeblatt 1'!$J$45)^Ergebnis!D105)-('Eingabeblatt 1'!$L$46*(1+'Eingabeblatt 1'!$J$46)^Ergebnis!D105)-('Eingabeblatt 1'!$L$47*(1+'Eingabeblatt 1'!$J$47)^Ergebnis!D105),"")</f>
        <v>-240534.70893646244</v>
      </c>
      <c r="J105" s="67">
        <f>IF(A104&lt;='Eingabeblatt 1'!$D$18,'Eingabeblatt 1'!$D$51*(1+'Eingabeblatt 1'!$J$51)^Ergebnis!D105,"")</f>
        <v>0</v>
      </c>
      <c r="K105" s="68">
        <f t="shared" si="12"/>
        <v>0</v>
      </c>
      <c r="L105" s="68">
        <f>IF(D105&lt;='Eingabeblatt 1'!$D$18,(SUMIFS('Eingabeblatt 2'!$K$14:$K$53,'Eingabeblatt 2'!$E$14:$E$53,Ergebnis!D105))*(1+'Eingabeblatt 1'!$J$34)^Ergebnis!D105,"")</f>
        <v>0</v>
      </c>
      <c r="M105" s="373">
        <f>IF(A105&lt;='Eingabeblatt 1'!$D$18,SUM(G105:L105)+E105,"")</f>
        <v>-1042563.5971613578</v>
      </c>
      <c r="N105" s="83">
        <f>IF(A105&lt;='Eingabeblatt 1'!$D$18,(E105+G105+I105+H105+J105+K105+L105)/(1+'Eingabeblatt 1'!$D$19)^D105,"")</f>
        <v>-792262.64887893584</v>
      </c>
      <c r="O105" s="419">
        <f>IF(A105&lt;='Eingabeblatt 1'!$D$18,O104+N105,"")</f>
        <v>-36573084.357494935</v>
      </c>
      <c r="P105" s="89"/>
      <c r="Q105" s="89"/>
      <c r="R105" s="93">
        <f>(((40-D105)/40*$Q$98))*('Eingabeblatt 1'!$D$20)+$Q$98/40</f>
        <v>119395.5</v>
      </c>
      <c r="S105" s="93"/>
      <c r="T105" s="93">
        <f>(((30-D105)/30*$S$98))*('Eingabeblatt 1'!$D$20)+$S$98/30</f>
        <v>0</v>
      </c>
      <c r="U105" s="93"/>
      <c r="V105" s="93">
        <f>(((20-D105)/20*$U$98))*('Eingabeblatt 1'!$D$20)+$U$98/20</f>
        <v>585498.06000000006</v>
      </c>
      <c r="W105" s="93"/>
      <c r="X105" s="93">
        <f>(((10-D105)/10*$W$98))*('Eingabeblatt 1'!$D$20)+$W$98/10</f>
        <v>632733.07999999996</v>
      </c>
      <c r="Y105" s="97">
        <f t="shared" si="11"/>
        <v>1337626.6400000001</v>
      </c>
      <c r="Z105" s="89"/>
      <c r="AA105" s="89"/>
      <c r="AB105" s="89"/>
      <c r="AC105" s="89"/>
      <c r="AD105" s="89"/>
      <c r="AE105" s="89"/>
      <c r="AF105" s="89"/>
      <c r="AG105" s="90"/>
      <c r="AH105" s="90"/>
      <c r="AI105" s="90"/>
      <c r="AJ105" s="90"/>
      <c r="AK105" s="89"/>
      <c r="AL105" s="89"/>
      <c r="AM105" s="89"/>
      <c r="AN105" s="89"/>
      <c r="AO105" s="89"/>
      <c r="AP105" s="89"/>
      <c r="AQ105" s="89"/>
      <c r="AR105" s="89"/>
      <c r="AS105" s="89"/>
      <c r="AT105" s="89"/>
      <c r="AU105" s="89"/>
      <c r="AV105" s="89"/>
      <c r="AW105" s="89"/>
      <c r="AX105" s="89"/>
      <c r="AY105" s="87"/>
      <c r="AZ105" s="87"/>
      <c r="BA105" s="87"/>
      <c r="BB105" s="87"/>
      <c r="BC105" s="87"/>
      <c r="BD105" s="87"/>
      <c r="BE105" s="87"/>
      <c r="BF105" s="87"/>
      <c r="BG105" s="87"/>
      <c r="BH105" s="87"/>
      <c r="BI105" s="87"/>
      <c r="BJ105" s="87"/>
      <c r="BK105" s="87"/>
      <c r="BL105" s="87"/>
      <c r="BM105" s="87"/>
      <c r="BN105" s="87"/>
      <c r="BO105" s="87"/>
      <c r="BP105" s="87"/>
      <c r="BQ105" s="87"/>
      <c r="BR105" s="87"/>
      <c r="BS105" s="87"/>
      <c r="BT105" s="87"/>
      <c r="BU105" s="87"/>
      <c r="BV105" s="87"/>
      <c r="BW105" s="87"/>
      <c r="BX105" s="87"/>
      <c r="BY105" s="87"/>
      <c r="BZ105" s="87"/>
      <c r="CA105" s="87"/>
      <c r="CB105" s="87"/>
      <c r="CC105" s="87"/>
      <c r="CD105" s="87"/>
      <c r="CE105" s="87"/>
      <c r="CF105" s="87"/>
      <c r="CG105" s="87"/>
      <c r="CH105" s="87"/>
      <c r="CI105" s="87"/>
      <c r="CJ105" s="87"/>
      <c r="CK105" s="87"/>
      <c r="CL105" s="87"/>
      <c r="CM105" s="87"/>
      <c r="CN105" s="87"/>
      <c r="CO105" s="87"/>
      <c r="CP105" s="87"/>
      <c r="CQ105" s="87"/>
      <c r="CR105" s="87"/>
      <c r="CS105" s="87"/>
      <c r="CT105" s="87"/>
      <c r="CU105" s="87"/>
      <c r="CV105" s="87"/>
      <c r="CW105" s="87"/>
      <c r="CX105" s="87"/>
    </row>
    <row r="106" spans="1:102" x14ac:dyDescent="0.3">
      <c r="A106" s="28">
        <v>8</v>
      </c>
      <c r="B106" s="20"/>
      <c r="C106" s="62">
        <f>IF(A106&lt;='Eingabeblatt 1'!$D$18,C105+1,"")</f>
        <v>2026</v>
      </c>
      <c r="D106" s="63">
        <f>IF(A106&lt;='Eingabeblatt 1'!$D$18,D105+1,"")</f>
        <v>8</v>
      </c>
      <c r="E106" s="64">
        <f>IF(A106&lt;='Eingabeblatt 1'!$D$18,IF(D106='Eingabeblatt 1'!$D$34,-'Eingabeblatt 1'!$L$34*(1+'Eingabeblatt 1'!$J$34)^D106,IF(D106='Eingabeblatt 1'!$D$35,-'Eingabeblatt 1'!$L$35*(1+'Eingabeblatt 1'!$J$35)^D106,IF(D106='Eingabeblatt 1'!$D$36,-'Eingabeblatt 1'!$L$36*(1+'Eingabeblatt 1'!$J$36)^D106,0))),"")</f>
        <v>0</v>
      </c>
      <c r="F106" s="64">
        <f t="shared" si="10"/>
        <v>-1314956.1599999999</v>
      </c>
      <c r="G106" s="65">
        <f>IF(A106&lt;='Eingabeblatt 1'!$D$18,IF(D106='Eingabeblatt 1'!$D$41,-('Eingabeblatt 1'!$L$40+'Eingabeblatt 1'!$L$41)*(1+'Eingabeblatt 1'!$J$40)^D106,-('Eingabeblatt 1'!$L$40)*(1+'Eingabeblatt 1'!$J$40)^D106),"")</f>
        <v>-410080.78335079295</v>
      </c>
      <c r="H106" s="66">
        <f>IF(A106&lt;='Eingabeblatt 1'!$D$18,H105*(1+'Eingabeblatt 1'!$J$42),"")</f>
        <v>-408988.65489996952</v>
      </c>
      <c r="I106" s="66">
        <f>IF(A106&lt;='Eingabeblatt 1'!$D$18,(-'Eingabeblatt 1'!$L$45*(1+'Eingabeblatt 1'!$J$45)^Ergebnis!D106)-('Eingabeblatt 1'!$L$46*(1+'Eingabeblatt 1'!$J$46)^Ergebnis!D106)-('Eingabeblatt 1'!$L$47*(1+'Eingabeblatt 1'!$J$47)^Ergebnis!D106),"")</f>
        <v>-242260.22890567669</v>
      </c>
      <c r="J106" s="67">
        <f>IF(A105&lt;='Eingabeblatt 1'!$D$18,'Eingabeblatt 1'!$D$51*(1+'Eingabeblatt 1'!$J$51)^Ergebnis!D106,"")</f>
        <v>0</v>
      </c>
      <c r="K106" s="68">
        <f t="shared" si="12"/>
        <v>0</v>
      </c>
      <c r="L106" s="68">
        <f>IF(D106&lt;='Eingabeblatt 1'!$D$18,(SUMIFS('Eingabeblatt 2'!$K$14:$K$53,'Eingabeblatt 2'!$E$14:$E$53,Ergebnis!D106))*(1+'Eingabeblatt 1'!$J$34)^Ergebnis!D106,"")</f>
        <v>0</v>
      </c>
      <c r="M106" s="373">
        <f>IF(A106&lt;='Eingabeblatt 1'!$D$18,SUM(G106:L106)+E106,"")</f>
        <v>-1061329.667156439</v>
      </c>
      <c r="N106" s="83">
        <f>IF(A106&lt;='Eingabeblatt 1'!$D$18,(E106+G106+I106+H106+J106+K106+L106)/(1+'Eingabeblatt 1'!$D$19)^D106,"")</f>
        <v>-775503.1920692256</v>
      </c>
      <c r="O106" s="419">
        <f>IF(A106&lt;='Eingabeblatt 1'!$D$18,O105+N106,"")</f>
        <v>-37348587.54956416</v>
      </c>
      <c r="P106" s="89"/>
      <c r="Q106" s="89"/>
      <c r="R106" s="93">
        <f>(((40-D106)/40*$Q$98))*('Eingabeblatt 1'!$D$20)+$Q$98/40</f>
        <v>117957</v>
      </c>
      <c r="S106" s="93"/>
      <c r="T106" s="93">
        <f>(((30-D106)/30*$S$98))*('Eingabeblatt 1'!$D$20)+$S$98/30</f>
        <v>0</v>
      </c>
      <c r="U106" s="93"/>
      <c r="V106" s="93">
        <f>(((20-D106)/20*$U$98))*('Eingabeblatt 1'!$D$20)+$U$98/20</f>
        <v>576204.43999999994</v>
      </c>
      <c r="W106" s="93"/>
      <c r="X106" s="93">
        <f>(((10-D106)/10*$W$98))*('Eingabeblatt 1'!$D$20)+$W$98/10</f>
        <v>620794.72</v>
      </c>
      <c r="Y106" s="97">
        <f t="shared" si="11"/>
        <v>1314956.1599999999</v>
      </c>
      <c r="Z106" s="89"/>
      <c r="AA106" s="89"/>
      <c r="AB106" s="89"/>
      <c r="AC106" s="89"/>
      <c r="AD106" s="89"/>
      <c r="AE106" s="89"/>
      <c r="AF106" s="89"/>
      <c r="AG106" s="90"/>
      <c r="AH106" s="90"/>
      <c r="AI106" s="90"/>
      <c r="AJ106" s="90"/>
      <c r="AK106" s="89"/>
      <c r="AL106" s="89"/>
      <c r="AM106" s="89"/>
      <c r="AN106" s="89"/>
      <c r="AO106" s="89"/>
      <c r="AP106" s="89"/>
      <c r="AQ106" s="89"/>
      <c r="AR106" s="89"/>
      <c r="AS106" s="89"/>
      <c r="AT106" s="89"/>
      <c r="AU106" s="89"/>
      <c r="AV106" s="89"/>
      <c r="AW106" s="89"/>
      <c r="AX106" s="89"/>
      <c r="AY106" s="87"/>
      <c r="AZ106" s="87"/>
      <c r="BA106" s="87"/>
      <c r="BB106" s="87"/>
      <c r="BC106" s="87"/>
      <c r="BD106" s="87"/>
      <c r="BE106" s="87"/>
      <c r="BF106" s="87"/>
      <c r="BG106" s="87"/>
      <c r="BH106" s="87"/>
      <c r="BI106" s="87"/>
      <c r="BJ106" s="87"/>
      <c r="BK106" s="87"/>
      <c r="BL106" s="87"/>
      <c r="BM106" s="87"/>
      <c r="BN106" s="87"/>
      <c r="BO106" s="87"/>
      <c r="BP106" s="87"/>
      <c r="BQ106" s="87"/>
      <c r="BR106" s="87"/>
      <c r="BS106" s="87"/>
      <c r="BT106" s="87"/>
      <c r="BU106" s="87"/>
      <c r="BV106" s="87"/>
      <c r="BW106" s="87"/>
      <c r="BX106" s="87"/>
      <c r="BY106" s="87"/>
      <c r="BZ106" s="87"/>
      <c r="CA106" s="87"/>
      <c r="CB106" s="87"/>
      <c r="CC106" s="87"/>
      <c r="CD106" s="87"/>
      <c r="CE106" s="87"/>
      <c r="CF106" s="87"/>
      <c r="CG106" s="87"/>
      <c r="CH106" s="87"/>
      <c r="CI106" s="87"/>
      <c r="CJ106" s="87"/>
      <c r="CK106" s="87"/>
      <c r="CL106" s="87"/>
      <c r="CM106" s="87"/>
      <c r="CN106" s="87"/>
      <c r="CO106" s="87"/>
      <c r="CP106" s="87"/>
      <c r="CQ106" s="87"/>
      <c r="CR106" s="87"/>
      <c r="CS106" s="87"/>
      <c r="CT106" s="87"/>
      <c r="CU106" s="87"/>
      <c r="CV106" s="87"/>
      <c r="CW106" s="87"/>
      <c r="CX106" s="87"/>
    </row>
    <row r="107" spans="1:102" x14ac:dyDescent="0.3">
      <c r="A107" s="28">
        <v>9</v>
      </c>
      <c r="B107" s="20"/>
      <c r="C107" s="62">
        <f>IF(A107&lt;='Eingabeblatt 1'!$D$18,C106+1,"")</f>
        <v>2027</v>
      </c>
      <c r="D107" s="63">
        <f>IF(A107&lt;='Eingabeblatt 1'!$D$18,D106+1,"")</f>
        <v>9</v>
      </c>
      <c r="E107" s="64">
        <f>IF(A107&lt;='Eingabeblatt 1'!$D$18,IF(D107='Eingabeblatt 1'!$D$34,-'Eingabeblatt 1'!$L$34*(1+'Eingabeblatt 1'!$J$34)^D107,IF(D107='Eingabeblatt 1'!$D$35,-'Eingabeblatt 1'!$L$35*(1+'Eingabeblatt 1'!$J$35)^D107,IF(D107='Eingabeblatt 1'!$D$36,-'Eingabeblatt 1'!$L$36*(1+'Eingabeblatt 1'!$J$36)^D107,0))),"")</f>
        <v>0</v>
      </c>
      <c r="F107" s="64">
        <f t="shared" si="10"/>
        <v>-1292285.6800000002</v>
      </c>
      <c r="G107" s="65">
        <f>IF(A107&lt;='Eingabeblatt 1'!$D$18,IF(D107='Eingabeblatt 1'!$D$41,-('Eingabeblatt 1'!$L$40+'Eingabeblatt 1'!$L$41)*(1+'Eingabeblatt 1'!$J$40)^D107,-('Eingabeblatt 1'!$L$40)*(1+'Eingabeblatt 1'!$J$40)^D107),"")</f>
        <v>-418282.39901780878</v>
      </c>
      <c r="H107" s="66">
        <f>IF(A107&lt;='Eingabeblatt 1'!$D$18,H106*(1+'Eingabeblatt 1'!$J$42),"")</f>
        <v>-418190.89963521884</v>
      </c>
      <c r="I107" s="66">
        <f>IF(A107&lt;='Eingabeblatt 1'!$D$18,(-'Eingabeblatt 1'!$L$45*(1+'Eingabeblatt 1'!$J$45)^Ergebnis!D107)-('Eingabeblatt 1'!$L$46*(1+'Eingabeblatt 1'!$J$46)^Ergebnis!D107)-('Eingabeblatt 1'!$L$47*(1+'Eingabeblatt 1'!$J$47)^Ergebnis!D107),"")</f>
        <v>-243999.60493898235</v>
      </c>
      <c r="J107" s="67">
        <f>IF(A106&lt;='Eingabeblatt 1'!$D$18,'Eingabeblatt 1'!$D$51*(1+'Eingabeblatt 1'!$J$51)^Ergebnis!D107,"")</f>
        <v>0</v>
      </c>
      <c r="K107" s="68">
        <f t="shared" si="12"/>
        <v>0</v>
      </c>
      <c r="L107" s="68">
        <f>IF(D107&lt;='Eingabeblatt 1'!$D$18,(SUMIFS('Eingabeblatt 2'!$K$14:$K$53,'Eingabeblatt 2'!$E$14:$E$53,Ergebnis!D107))*(1+'Eingabeblatt 1'!$J$34)^Ergebnis!D107,"")</f>
        <v>0</v>
      </c>
      <c r="M107" s="373">
        <f>IF(A107&lt;='Eingabeblatt 1'!$D$18,SUM(G107:L107)+E107,"")</f>
        <v>-1080472.90359201</v>
      </c>
      <c r="N107" s="83">
        <f>IF(A107&lt;='Eingabeblatt 1'!$D$18,(E107+G107+I107+H107+J107+K107+L107)/(1+'Eingabeblatt 1'!$D$19)^D107,"")</f>
        <v>-759125.93021609075</v>
      </c>
      <c r="O107" s="419">
        <f>IF(A107&lt;='Eingabeblatt 1'!$D$18,O106+N107,"")</f>
        <v>-38107713.479780249</v>
      </c>
      <c r="P107" s="89"/>
      <c r="Q107" s="89"/>
      <c r="R107" s="93">
        <f>(((40-D107)/40*$Q$98))*('Eingabeblatt 1'!$D$20)+$Q$98/40</f>
        <v>116518.5</v>
      </c>
      <c r="S107" s="93"/>
      <c r="T107" s="93">
        <f>(((30-D107)/30*$S$98))*('Eingabeblatt 1'!$D$20)+$S$98/30</f>
        <v>0</v>
      </c>
      <c r="U107" s="93"/>
      <c r="V107" s="93">
        <f>(((20-D107)/20*$U$98))*('Eingabeblatt 1'!$D$20)+$U$98/20</f>
        <v>566910.82000000007</v>
      </c>
      <c r="W107" s="93"/>
      <c r="X107" s="93">
        <f>(((10-D107)/10*$W$98))*('Eingabeblatt 1'!$D$20)+$W$98/10</f>
        <v>608856.36</v>
      </c>
      <c r="Y107" s="97">
        <f t="shared" si="11"/>
        <v>1292285.6800000002</v>
      </c>
      <c r="Z107" s="89"/>
      <c r="AA107" s="89"/>
      <c r="AB107" s="89"/>
      <c r="AC107" s="89"/>
      <c r="AD107" s="89"/>
      <c r="AE107" s="89"/>
      <c r="AF107" s="89"/>
      <c r="AG107" s="90"/>
      <c r="AH107" s="90"/>
      <c r="AI107" s="90"/>
      <c r="AJ107" s="90"/>
      <c r="AK107" s="89"/>
      <c r="AL107" s="89"/>
      <c r="AM107" s="89"/>
      <c r="AN107" s="89"/>
      <c r="AO107" s="89"/>
      <c r="AP107" s="89"/>
      <c r="AQ107" s="89"/>
      <c r="AR107" s="89"/>
      <c r="AS107" s="89"/>
      <c r="AT107" s="89"/>
      <c r="AU107" s="89"/>
      <c r="AV107" s="89"/>
      <c r="AW107" s="89"/>
      <c r="AX107" s="89"/>
      <c r="AY107" s="87"/>
      <c r="AZ107" s="87"/>
      <c r="BA107" s="87"/>
      <c r="BB107" s="87"/>
      <c r="BC107" s="87"/>
      <c r="BD107" s="87"/>
      <c r="BE107" s="87"/>
      <c r="BF107" s="87"/>
      <c r="BG107" s="87"/>
      <c r="BH107" s="87"/>
      <c r="BI107" s="87"/>
      <c r="BJ107" s="87"/>
      <c r="BK107" s="87"/>
      <c r="BL107" s="87"/>
      <c r="BM107" s="87"/>
      <c r="BN107" s="87"/>
      <c r="BO107" s="87"/>
      <c r="BP107" s="87"/>
      <c r="BQ107" s="87"/>
      <c r="BR107" s="87"/>
      <c r="BS107" s="87"/>
      <c r="BT107" s="87"/>
      <c r="BU107" s="87"/>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c r="CS107" s="87"/>
      <c r="CT107" s="87"/>
      <c r="CU107" s="87"/>
      <c r="CV107" s="87"/>
      <c r="CW107" s="87"/>
      <c r="CX107" s="87"/>
    </row>
    <row r="108" spans="1:102" x14ac:dyDescent="0.3">
      <c r="A108" s="28">
        <v>10</v>
      </c>
      <c r="B108" s="20"/>
      <c r="C108" s="62">
        <f>IF(A108&lt;='Eingabeblatt 1'!$D$18,C107+1,"")</f>
        <v>2028</v>
      </c>
      <c r="D108" s="63">
        <f>IF(A108&lt;='Eingabeblatt 1'!$D$18,D107+1,"")</f>
        <v>10</v>
      </c>
      <c r="E108" s="64">
        <f>IF(A108&lt;='Eingabeblatt 1'!$D$18,IF(D108='Eingabeblatt 1'!$D$34,-'Eingabeblatt 1'!$L$34*(1+'Eingabeblatt 1'!$J$34)^D108,IF(D108='Eingabeblatt 1'!$D$35,-'Eingabeblatt 1'!$L$35*(1+'Eingabeblatt 1'!$J$35)^D108,IF(D108='Eingabeblatt 1'!$D$36,-'Eingabeblatt 1'!$L$36*(1+'Eingabeblatt 1'!$J$36)^D108,0))),"")</f>
        <v>-12295655.839763483</v>
      </c>
      <c r="F108" s="64">
        <f t="shared" si="10"/>
        <v>-1377060.44</v>
      </c>
      <c r="G108" s="65">
        <f>IF(A108&lt;='Eingabeblatt 1'!$D$18,IF(D108='Eingabeblatt 1'!$D$41,-('Eingabeblatt 1'!$L$40+'Eingabeblatt 1'!$L$41)*(1+'Eingabeblatt 1'!$J$40)^D108,-('Eingabeblatt 1'!$L$40)*(1+'Eingabeblatt 1'!$J$40)^D108),"")</f>
        <v>-426648.04699816497</v>
      </c>
      <c r="H108" s="66">
        <f>IF(A108&lt;='Eingabeblatt 1'!$D$18,H107*(1+'Eingabeblatt 1'!$J$42),"")</f>
        <v>-427600.19487701124</v>
      </c>
      <c r="I108" s="66">
        <f>IF(A108&lt;='Eingabeblatt 1'!$D$18,(-'Eingabeblatt 1'!$L$45*(1+'Eingabeblatt 1'!$J$45)^Ergebnis!D108)-('Eingabeblatt 1'!$L$46*(1+'Eingabeblatt 1'!$J$46)^Ergebnis!D108)-('Eingabeblatt 1'!$L$47*(1+'Eingabeblatt 1'!$J$47)^Ergebnis!D108),"")</f>
        <v>-245752.95860134222</v>
      </c>
      <c r="J108" s="67">
        <f>IF(A107&lt;='Eingabeblatt 1'!$D$18,'Eingabeblatt 1'!$D$51*(1+'Eingabeblatt 1'!$J$51)^Ergebnis!D108,"")</f>
        <v>0</v>
      </c>
      <c r="K108" s="68">
        <f t="shared" si="12"/>
        <v>0</v>
      </c>
      <c r="L108" s="68">
        <f>IF(D108&lt;='Eingabeblatt 1'!$D$18,(SUMIFS('Eingabeblatt 2'!$K$14:$K$53,'Eingabeblatt 2'!$E$14:$E$53,Ergebnis!D108))*(1+'Eingabeblatt 1'!$J$34)^Ergebnis!D108,"")</f>
        <v>129559.35913583876</v>
      </c>
      <c r="M108" s="373">
        <f>IF(A108&lt;='Eingabeblatt 1'!$D$18,SUM(G108:L108)+E108,"")</f>
        <v>-13266097.681104163</v>
      </c>
      <c r="N108" s="83">
        <f>IF(A108&lt;='Eingabeblatt 1'!$D$18,(E108+G108+I108+H108+J108+K108+L108)/(1+'Eingabeblatt 1'!$D$19)^D108,"")</f>
        <v>-8962100.2534969877</v>
      </c>
      <c r="O108" s="419">
        <f>IF(A108&lt;='Eingabeblatt 1'!$D$18,O107+N108,"")</f>
        <v>-47069813.733277239</v>
      </c>
      <c r="P108" s="89"/>
      <c r="Q108" s="89"/>
      <c r="R108" s="93">
        <f>(((40-D108)/40*$Q$98))*('Eingabeblatt 1'!$D$20)+$Q$98/40</f>
        <v>115080</v>
      </c>
      <c r="S108" s="93"/>
      <c r="T108" s="93">
        <f>(((30-D108)/30*$S$98))*('Eingabeblatt 1'!$D$20)+$S$98/30</f>
        <v>0</v>
      </c>
      <c r="U108" s="93"/>
      <c r="V108" s="93">
        <f>(((20-D108)/20*$U$98))*('Eingabeblatt 1'!$D$20)+$U$98/20</f>
        <v>557617.19999999995</v>
      </c>
      <c r="W108" s="93">
        <f>(SUMIFS('Eingabeblatt 2'!I14:I37,'Eingabeblatt 2'!E14:E37,10))*(1+'Eingabeblatt 1'!J80)^Ergebnis!D108</f>
        <v>5969180</v>
      </c>
      <c r="X108" s="93">
        <f>(((10-D99)/10*$W$108))*('Eingabeblatt 1'!$D$20)+$W$108/10</f>
        <v>704363.24</v>
      </c>
      <c r="Y108" s="97">
        <f t="shared" si="11"/>
        <v>1377060.44</v>
      </c>
      <c r="Z108" s="89"/>
      <c r="AA108" s="89"/>
      <c r="AB108" s="89"/>
      <c r="AC108" s="89"/>
      <c r="AD108" s="89"/>
      <c r="AE108" s="89"/>
      <c r="AF108" s="89"/>
      <c r="AG108" s="90"/>
      <c r="AH108" s="90"/>
      <c r="AI108" s="90"/>
      <c r="AJ108" s="90"/>
      <c r="AK108" s="89"/>
      <c r="AL108" s="89"/>
      <c r="AM108" s="89"/>
      <c r="AN108" s="89"/>
      <c r="AO108" s="89"/>
      <c r="AP108" s="89"/>
      <c r="AQ108" s="89"/>
      <c r="AR108" s="89"/>
      <c r="AS108" s="89"/>
      <c r="AT108" s="89"/>
      <c r="AU108" s="89"/>
      <c r="AV108" s="89"/>
      <c r="AW108" s="89"/>
      <c r="AX108" s="89"/>
      <c r="AY108" s="87"/>
      <c r="AZ108" s="87"/>
      <c r="BA108" s="87"/>
      <c r="BB108" s="87"/>
      <c r="BC108" s="87"/>
      <c r="BD108" s="87"/>
      <c r="BE108" s="87"/>
      <c r="BF108" s="87"/>
      <c r="BG108" s="87"/>
      <c r="BH108" s="87"/>
      <c r="BI108" s="87"/>
      <c r="BJ108" s="87"/>
      <c r="BK108" s="87"/>
      <c r="BL108" s="87"/>
      <c r="BM108" s="87"/>
      <c r="BN108" s="87"/>
      <c r="BO108" s="87"/>
      <c r="BP108" s="87"/>
      <c r="BQ108" s="87"/>
      <c r="BR108" s="87"/>
      <c r="BS108" s="87"/>
      <c r="BT108" s="87"/>
      <c r="BU108" s="87"/>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c r="CS108" s="87"/>
      <c r="CT108" s="87"/>
      <c r="CU108" s="87"/>
      <c r="CV108" s="87"/>
      <c r="CW108" s="87"/>
      <c r="CX108" s="87"/>
    </row>
    <row r="109" spans="1:102" x14ac:dyDescent="0.3">
      <c r="A109" s="28">
        <v>11</v>
      </c>
      <c r="B109" s="20"/>
      <c r="C109" s="62">
        <f>IF(A109&lt;='Eingabeblatt 1'!$D$18,C108+1,"")</f>
        <v>2029</v>
      </c>
      <c r="D109" s="63">
        <f>IF(A109&lt;='Eingabeblatt 1'!$D$18,D108+1,"")</f>
        <v>11</v>
      </c>
      <c r="E109" s="64">
        <f>IF(A109&lt;='Eingabeblatt 1'!$D$18,IF(D109='Eingabeblatt 1'!$D$34,-'Eingabeblatt 1'!$L$34*(1+'Eingabeblatt 1'!$J$34)^D109,IF(D109='Eingabeblatt 1'!$D$35,-'Eingabeblatt 1'!$L$35*(1+'Eingabeblatt 1'!$J$35)^D109,IF(D109='Eingabeblatt 1'!$D$36,-'Eingabeblatt 1'!$L$36*(1+'Eingabeblatt 1'!$J$36)^D109,0))),"")</f>
        <v>0</v>
      </c>
      <c r="F109" s="64">
        <f t="shared" si="10"/>
        <v>-1354389.96</v>
      </c>
      <c r="G109" s="65">
        <f>IF(A109&lt;='Eingabeblatt 1'!$D$18,IF(D109='Eingabeblatt 1'!$D$41,-('Eingabeblatt 1'!$L$40+'Eingabeblatt 1'!$L$41)*(1+'Eingabeblatt 1'!$J$40)^D109,-('Eingabeblatt 1'!$L$40)*(1+'Eingabeblatt 1'!$J$40)^D109),"")</f>
        <v>-435181.0079381282</v>
      </c>
      <c r="H109" s="66">
        <f>IF(A109&lt;='Eingabeblatt 1'!$D$18,H108*(1+'Eingabeblatt 1'!$J$42),"")</f>
        <v>-437221.19926174398</v>
      </c>
      <c r="I109" s="66">
        <f>IF(A109&lt;='Eingabeblatt 1'!$D$18,(-'Eingabeblatt 1'!$L$45*(1+'Eingabeblatt 1'!$J$45)^Ergebnis!D109)-('Eingabeblatt 1'!$L$46*(1+'Eingabeblatt 1'!$J$46)^Ergebnis!D109)-('Eingabeblatt 1'!$L$47*(1+'Eingabeblatt 1'!$J$47)^Ergebnis!D109),"")</f>
        <v>-247520.41258839058</v>
      </c>
      <c r="J109" s="67">
        <f>IF(A108&lt;='Eingabeblatt 1'!$D$18,'Eingabeblatt 1'!$D$51*(1+'Eingabeblatt 1'!$J$51)^Ergebnis!D109,"")</f>
        <v>0</v>
      </c>
      <c r="K109" s="68">
        <f t="shared" si="12"/>
        <v>0</v>
      </c>
      <c r="L109" s="68">
        <f>IF(D109&lt;='Eingabeblatt 1'!$D$18,(SUMIFS('Eingabeblatt 2'!$K$14:$K$53,'Eingabeblatt 2'!$E$14:$E$53,Ergebnis!D109))*(1+'Eingabeblatt 1'!$J$34)^Ergebnis!D109,"")</f>
        <v>0</v>
      </c>
      <c r="M109" s="373">
        <f>IF(A109&lt;='Eingabeblatt 1'!$D$18,SUM(G109:L109)+E109,"")</f>
        <v>-1119922.6197882628</v>
      </c>
      <c r="N109" s="83">
        <f>IF(A109&lt;='Eingabeblatt 1'!$D$18,(E109+G109+I109+H109+J109+K109+L109)/(1+'Eingabeblatt 1'!$D$19)^D109,"")</f>
        <v>-727480.37864083517</v>
      </c>
      <c r="O109" s="419">
        <f>IF(A109&lt;='Eingabeblatt 1'!$D$18,O108+N109,"")</f>
        <v>-47797294.111918077</v>
      </c>
      <c r="P109" s="89"/>
      <c r="Q109" s="89"/>
      <c r="R109" s="93">
        <f>(((40-D109)/40*$Q$98))*('Eingabeblatt 1'!$D$20)+$Q$98/40</f>
        <v>113641.5</v>
      </c>
      <c r="S109" s="93"/>
      <c r="T109" s="93">
        <f>(((30-D109)/30*$S$98))*('Eingabeblatt 1'!$D$20)+$S$98/30</f>
        <v>0</v>
      </c>
      <c r="U109" s="93"/>
      <c r="V109" s="93">
        <f>(((20-D109)/20*$U$98))*('Eingabeblatt 1'!$D$20)+$U$98/20</f>
        <v>548323.57999999996</v>
      </c>
      <c r="W109" s="93"/>
      <c r="X109" s="93">
        <f>(((10-D100)/10*$W$108))*('Eingabeblatt 1'!$D$20)+$W$108/10</f>
        <v>692424.88</v>
      </c>
      <c r="Y109" s="97">
        <f t="shared" si="11"/>
        <v>1354389.96</v>
      </c>
      <c r="Z109" s="89"/>
      <c r="AA109" s="89"/>
      <c r="AB109" s="89"/>
      <c r="AC109" s="89"/>
      <c r="AD109" s="89"/>
      <c r="AE109" s="89"/>
      <c r="AF109" s="89"/>
      <c r="AG109" s="90"/>
      <c r="AH109" s="90"/>
      <c r="AI109" s="90"/>
      <c r="AJ109" s="90"/>
      <c r="AK109" s="89"/>
      <c r="AL109" s="89"/>
      <c r="AM109" s="89"/>
      <c r="AN109" s="89"/>
      <c r="AO109" s="89"/>
      <c r="AP109" s="89"/>
      <c r="AQ109" s="89"/>
      <c r="AR109" s="89"/>
      <c r="AS109" s="89"/>
      <c r="AT109" s="89"/>
      <c r="AU109" s="89"/>
      <c r="AV109" s="89"/>
      <c r="AW109" s="89"/>
      <c r="AX109" s="89"/>
      <c r="AY109" s="87"/>
      <c r="AZ109" s="87"/>
      <c r="BA109" s="87"/>
      <c r="BB109" s="87"/>
      <c r="BC109" s="87"/>
      <c r="BD109" s="87"/>
      <c r="BE109" s="87"/>
      <c r="BF109" s="87"/>
      <c r="BG109" s="87"/>
      <c r="BH109" s="87"/>
      <c r="BI109" s="87"/>
      <c r="BJ109" s="87"/>
      <c r="BK109" s="87"/>
      <c r="BL109" s="87"/>
      <c r="BM109" s="87"/>
      <c r="BN109" s="87"/>
      <c r="BO109" s="87"/>
      <c r="BP109" s="87"/>
      <c r="BQ109" s="87"/>
      <c r="BR109" s="87"/>
      <c r="BS109" s="87"/>
      <c r="BT109" s="87"/>
      <c r="BU109" s="87"/>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c r="CS109" s="87"/>
      <c r="CT109" s="87"/>
      <c r="CU109" s="87"/>
      <c r="CV109" s="87"/>
      <c r="CW109" s="87"/>
      <c r="CX109" s="87"/>
    </row>
    <row r="110" spans="1:102" x14ac:dyDescent="0.3">
      <c r="A110" s="28">
        <v>12</v>
      </c>
      <c r="B110" s="20"/>
      <c r="C110" s="62">
        <f>IF(A110&lt;='Eingabeblatt 1'!$D$18,C109+1,"")</f>
        <v>2030</v>
      </c>
      <c r="D110" s="63">
        <f>IF(A110&lt;='Eingabeblatt 1'!$D$18,D109+1,"")</f>
        <v>12</v>
      </c>
      <c r="E110" s="64">
        <f>IF(A110&lt;='Eingabeblatt 1'!$D$18,IF(D110='Eingabeblatt 1'!$D$34,-'Eingabeblatt 1'!$L$34*(1+'Eingabeblatt 1'!$J$34)^D110,IF(D110='Eingabeblatt 1'!$D$35,-'Eingabeblatt 1'!$L$35*(1+'Eingabeblatt 1'!$J$35)^D110,IF(D110='Eingabeblatt 1'!$D$36,-'Eingabeblatt 1'!$L$36*(1+'Eingabeblatt 1'!$J$36)^D110,0))),"")</f>
        <v>0</v>
      </c>
      <c r="F110" s="64">
        <f t="shared" si="10"/>
        <v>-1331719.48</v>
      </c>
      <c r="G110" s="65">
        <f>IF(A110&lt;='Eingabeblatt 1'!$D$18,IF(D110='Eingabeblatt 1'!$D$41,-('Eingabeblatt 1'!$L$40+'Eingabeblatt 1'!$L$41)*(1+'Eingabeblatt 1'!$J$40)^D110,-('Eingabeblatt 1'!$L$40)*(1+'Eingabeblatt 1'!$J$40)^D110),"")</f>
        <v>-443884.62809689087</v>
      </c>
      <c r="H110" s="66">
        <f>IF(A110&lt;='Eingabeblatt 1'!$D$18,H109*(1+'Eingabeblatt 1'!$J$42),"")</f>
        <v>-447058.67624513322</v>
      </c>
      <c r="I110" s="66">
        <f>IF(A110&lt;='Eingabeblatt 1'!$D$18,(-'Eingabeblatt 1'!$L$45*(1+'Eingabeblatt 1'!$J$45)^Ergebnis!D110)-('Eingabeblatt 1'!$L$46*(1+'Eingabeblatt 1'!$J$46)^Ergebnis!D110)-('Eingabeblatt 1'!$L$47*(1+'Eingabeblatt 1'!$J$47)^Ergebnis!D110),"")</f>
        <v>-249302.09073731455</v>
      </c>
      <c r="J110" s="67">
        <f>IF(A109&lt;='Eingabeblatt 1'!$D$18,'Eingabeblatt 1'!$D$51*(1+'Eingabeblatt 1'!$J$51)^Ergebnis!D110,"")</f>
        <v>0</v>
      </c>
      <c r="K110" s="68">
        <f t="shared" si="12"/>
        <v>0</v>
      </c>
      <c r="L110" s="68">
        <f>IF(D110&lt;='Eingabeblatt 1'!$D$18,(SUMIFS('Eingabeblatt 2'!$K$14:$K$53,'Eingabeblatt 2'!$E$14:$E$53,Ergebnis!D110))*(1+'Eingabeblatt 1'!$J$34)^Ergebnis!D110,"")</f>
        <v>0</v>
      </c>
      <c r="M110" s="373">
        <f>IF(A110&lt;='Eingabeblatt 1'!$D$18,SUM(G110:L110)+E110,"")</f>
        <v>-1140245.3950793385</v>
      </c>
      <c r="N110" s="83">
        <f>IF(A110&lt;='Eingabeblatt 1'!$D$18,(E110+G110+I110+H110+J110+K110+L110)/(1+'Eingabeblatt 1'!$D$19)^D110,"")</f>
        <v>-712193.90956381068</v>
      </c>
      <c r="O110" s="419">
        <f>IF(A110&lt;='Eingabeblatt 1'!$D$18,O109+N110,"")</f>
        <v>-48509488.021481887</v>
      </c>
      <c r="P110" s="89"/>
      <c r="Q110" s="89"/>
      <c r="R110" s="93">
        <f>(((40-D110)/40*$Q$98))*('Eingabeblatt 1'!$D$20)+$Q$98/40</f>
        <v>112203</v>
      </c>
      <c r="S110" s="93"/>
      <c r="T110" s="93">
        <f>(((30-D110)/30*$S$98))*('Eingabeblatt 1'!$D$20)+$S$98/30</f>
        <v>0</v>
      </c>
      <c r="U110" s="93"/>
      <c r="V110" s="93">
        <f>(((20-D110)/20*$U$98))*('Eingabeblatt 1'!$D$20)+$U$98/20</f>
        <v>539029.96</v>
      </c>
      <c r="W110" s="93"/>
      <c r="X110" s="93">
        <f>(((10-D101)/10*$W$108))*('Eingabeblatt 1'!$D$20)+$W$108/10</f>
        <v>680486.52</v>
      </c>
      <c r="Y110" s="97">
        <f t="shared" si="11"/>
        <v>1331719.48</v>
      </c>
      <c r="Z110" s="89"/>
      <c r="AA110" s="89"/>
      <c r="AB110" s="89"/>
      <c r="AC110" s="89"/>
      <c r="AD110" s="89"/>
      <c r="AE110" s="89"/>
      <c r="AF110" s="89"/>
      <c r="AG110" s="90"/>
      <c r="AH110" s="90"/>
      <c r="AI110" s="90"/>
      <c r="AJ110" s="90"/>
      <c r="AK110" s="89"/>
      <c r="AL110" s="89"/>
      <c r="AM110" s="89"/>
      <c r="AN110" s="89"/>
      <c r="AO110" s="89"/>
      <c r="AP110" s="89"/>
      <c r="AQ110" s="89"/>
      <c r="AR110" s="89"/>
      <c r="AS110" s="89"/>
      <c r="AT110" s="89"/>
      <c r="AU110" s="89"/>
      <c r="AV110" s="89"/>
      <c r="AW110" s="89"/>
      <c r="AX110" s="89"/>
      <c r="AY110" s="87"/>
      <c r="AZ110" s="87"/>
      <c r="BA110" s="87"/>
      <c r="BB110" s="87"/>
      <c r="BC110" s="87"/>
      <c r="BD110" s="87"/>
      <c r="BE110" s="87"/>
      <c r="BF110" s="87"/>
      <c r="BG110" s="87"/>
      <c r="BH110" s="87"/>
      <c r="BI110" s="87"/>
      <c r="BJ110" s="87"/>
      <c r="BK110" s="87"/>
      <c r="BL110" s="87"/>
      <c r="BM110" s="87"/>
      <c r="BN110" s="87"/>
      <c r="BO110" s="87"/>
      <c r="BP110" s="87"/>
      <c r="BQ110" s="87"/>
      <c r="BR110" s="87"/>
      <c r="BS110" s="87"/>
      <c r="BT110" s="87"/>
      <c r="BU110" s="87"/>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c r="CS110" s="87"/>
      <c r="CT110" s="87"/>
      <c r="CU110" s="87"/>
      <c r="CV110" s="87"/>
      <c r="CW110" s="87"/>
      <c r="CX110" s="87"/>
    </row>
    <row r="111" spans="1:102" x14ac:dyDescent="0.3">
      <c r="A111" s="28">
        <v>13</v>
      </c>
      <c r="B111" s="20"/>
      <c r="C111" s="62">
        <f>IF(A111&lt;='Eingabeblatt 1'!$D$18,C110+1,"")</f>
        <v>2031</v>
      </c>
      <c r="D111" s="63">
        <f>IF(A111&lt;='Eingabeblatt 1'!$D$18,D110+1,"")</f>
        <v>13</v>
      </c>
      <c r="E111" s="64">
        <f>IF(A111&lt;='Eingabeblatt 1'!$D$18,IF(D111='Eingabeblatt 1'!$D$34,-'Eingabeblatt 1'!$L$34*(1+'Eingabeblatt 1'!$J$34)^D111,IF(D111='Eingabeblatt 1'!$D$35,-'Eingabeblatt 1'!$L$35*(1+'Eingabeblatt 1'!$J$35)^D111,IF(D111='Eingabeblatt 1'!$D$36,-'Eingabeblatt 1'!$L$36*(1+'Eingabeblatt 1'!$J$36)^D111,0))),"")</f>
        <v>0</v>
      </c>
      <c r="F111" s="64">
        <f t="shared" si="10"/>
        <v>-1309049</v>
      </c>
      <c r="G111" s="65">
        <f>IF(A111&lt;='Eingabeblatt 1'!$D$18,IF(D111='Eingabeblatt 1'!$D$41,-('Eingabeblatt 1'!$L$40+'Eingabeblatt 1'!$L$41)*(1+'Eingabeblatt 1'!$J$40)^D111,-('Eingabeblatt 1'!$L$40)*(1+'Eingabeblatt 1'!$J$40)^D111),"")</f>
        <v>-452762.32065882866</v>
      </c>
      <c r="H111" s="66">
        <f>IF(A111&lt;='Eingabeblatt 1'!$D$18,H110*(1+'Eingabeblatt 1'!$J$42),"")</f>
        <v>-457117.49646064872</v>
      </c>
      <c r="I111" s="66">
        <f>IF(A111&lt;='Eingabeblatt 1'!$D$18,(-'Eingabeblatt 1'!$L$45*(1+'Eingabeblatt 1'!$J$45)^Ergebnis!D111)-('Eingabeblatt 1'!$L$46*(1+'Eingabeblatt 1'!$J$46)^Ergebnis!D111)-('Eingabeblatt 1'!$L$47*(1+'Eingabeblatt 1'!$J$47)^Ergebnis!D111),"")</f>
        <v>-251098.11803784303</v>
      </c>
      <c r="J111" s="67">
        <f>IF(A110&lt;='Eingabeblatt 1'!$D$18,'Eingabeblatt 1'!$D$51*(1+'Eingabeblatt 1'!$J$51)^Ergebnis!D111,"")</f>
        <v>0</v>
      </c>
      <c r="K111" s="68">
        <f t="shared" si="12"/>
        <v>0</v>
      </c>
      <c r="L111" s="68">
        <f>IF(D111&lt;='Eingabeblatt 1'!$D$18,(SUMIFS('Eingabeblatt 2'!$K$14:$K$53,'Eingabeblatt 2'!$E$14:$E$53,Ergebnis!D111))*(1+'Eingabeblatt 1'!$J$34)^Ergebnis!D111,"")</f>
        <v>0</v>
      </c>
      <c r="M111" s="373">
        <f>IF(A111&lt;='Eingabeblatt 1'!$D$18,SUM(G111:L111)+E111,"")</f>
        <v>-1160977.9351573205</v>
      </c>
      <c r="N111" s="83">
        <f>IF(A111&lt;='Eingabeblatt 1'!$D$18,(E111+G111+I111+H111+J111+K111+L111)/(1+'Eingabeblatt 1'!$D$19)^D111,"")</f>
        <v>-697253.26242963318</v>
      </c>
      <c r="O111" s="419">
        <f>IF(A111&lt;='Eingabeblatt 1'!$D$18,O110+N111,"")</f>
        <v>-49206741.283911519</v>
      </c>
      <c r="P111" s="89"/>
      <c r="Q111" s="89"/>
      <c r="R111" s="93">
        <f>(((40-D111)/40*$Q$98))*('Eingabeblatt 1'!$D$20)+$Q$98/40</f>
        <v>110764.5</v>
      </c>
      <c r="S111" s="93"/>
      <c r="T111" s="93">
        <f>(((30-D111)/30*$S$98))*('Eingabeblatt 1'!$D$20)+$S$98/30</f>
        <v>0</v>
      </c>
      <c r="U111" s="93"/>
      <c r="V111" s="93">
        <f>(((20-D111)/20*$U$98))*('Eingabeblatt 1'!$D$20)+$U$98/20</f>
        <v>529736.34</v>
      </c>
      <c r="W111" s="93"/>
      <c r="X111" s="93">
        <f>(((10-D102)/10*$W$108))*('Eingabeblatt 1'!$D$20)+$W$108/10</f>
        <v>668548.16</v>
      </c>
      <c r="Y111" s="97">
        <f t="shared" si="11"/>
        <v>1309049</v>
      </c>
      <c r="Z111" s="89"/>
      <c r="AA111" s="89"/>
      <c r="AB111" s="89"/>
      <c r="AC111" s="89"/>
      <c r="AD111" s="89"/>
      <c r="AE111" s="89"/>
      <c r="AF111" s="89"/>
      <c r="AG111" s="90"/>
      <c r="AH111" s="90"/>
      <c r="AI111" s="90"/>
      <c r="AJ111" s="90"/>
      <c r="AK111" s="89"/>
      <c r="AL111" s="89"/>
      <c r="AM111" s="89"/>
      <c r="AN111" s="89"/>
      <c r="AO111" s="89"/>
      <c r="AP111" s="89"/>
      <c r="AQ111" s="89"/>
      <c r="AR111" s="89"/>
      <c r="AS111" s="89"/>
      <c r="AT111" s="89"/>
      <c r="AU111" s="89"/>
      <c r="AV111" s="89"/>
      <c r="AW111" s="89"/>
      <c r="AX111" s="89"/>
      <c r="AY111" s="87"/>
      <c r="AZ111" s="87"/>
      <c r="BA111" s="87"/>
      <c r="BB111" s="87"/>
      <c r="BC111" s="87"/>
      <c r="BD111" s="87"/>
      <c r="BE111" s="87"/>
      <c r="BF111" s="87"/>
      <c r="BG111" s="87"/>
      <c r="BH111" s="87"/>
      <c r="BI111" s="87"/>
      <c r="BJ111" s="87"/>
      <c r="BK111" s="87"/>
      <c r="BL111" s="87"/>
      <c r="BM111" s="87"/>
      <c r="BN111" s="87"/>
      <c r="BO111" s="87"/>
      <c r="BP111" s="87"/>
      <c r="BQ111" s="87"/>
      <c r="BR111" s="87"/>
      <c r="BS111" s="87"/>
      <c r="BT111" s="87"/>
      <c r="BU111" s="87"/>
      <c r="BV111" s="87"/>
      <c r="BW111" s="87"/>
      <c r="BX111" s="87"/>
      <c r="BY111" s="87"/>
      <c r="BZ111" s="87"/>
      <c r="CA111" s="87"/>
      <c r="CB111" s="87"/>
      <c r="CC111" s="87"/>
      <c r="CD111" s="87"/>
      <c r="CE111" s="87"/>
      <c r="CF111" s="87"/>
      <c r="CG111" s="87"/>
      <c r="CH111" s="87"/>
      <c r="CI111" s="87"/>
      <c r="CJ111" s="87"/>
      <c r="CK111" s="87"/>
      <c r="CL111" s="87"/>
      <c r="CM111" s="87"/>
      <c r="CN111" s="87"/>
      <c r="CO111" s="87"/>
      <c r="CP111" s="87"/>
      <c r="CQ111" s="87"/>
      <c r="CR111" s="87"/>
      <c r="CS111" s="87"/>
      <c r="CT111" s="87"/>
      <c r="CU111" s="87"/>
      <c r="CV111" s="87"/>
      <c r="CW111" s="87"/>
      <c r="CX111" s="87"/>
    </row>
    <row r="112" spans="1:102" x14ac:dyDescent="0.3">
      <c r="A112" s="28">
        <v>14</v>
      </c>
      <c r="B112" s="20"/>
      <c r="C112" s="62">
        <f>IF(A112&lt;='Eingabeblatt 1'!$D$18,C111+1,"")</f>
        <v>2032</v>
      </c>
      <c r="D112" s="63">
        <f>IF(A112&lt;='Eingabeblatt 1'!$D$18,D111+1,"")</f>
        <v>14</v>
      </c>
      <c r="E112" s="64">
        <f>IF(A112&lt;='Eingabeblatt 1'!$D$18,IF(D112='Eingabeblatt 1'!$D$34,-'Eingabeblatt 1'!$L$34*(1+'Eingabeblatt 1'!$J$34)^D112,IF(D112='Eingabeblatt 1'!$D$35,-'Eingabeblatt 1'!$L$35*(1+'Eingabeblatt 1'!$J$35)^D112,IF(D112='Eingabeblatt 1'!$D$36,-'Eingabeblatt 1'!$L$36*(1+'Eingabeblatt 1'!$J$36)^D112,0))),"")</f>
        <v>0</v>
      </c>
      <c r="F112" s="64">
        <f t="shared" si="10"/>
        <v>-1286378.52</v>
      </c>
      <c r="G112" s="65">
        <f>IF(A112&lt;='Eingabeblatt 1'!$D$18,IF(D112='Eingabeblatt 1'!$D$41,-('Eingabeblatt 1'!$L$40+'Eingabeblatt 1'!$L$41)*(1+'Eingabeblatt 1'!$J$40)^D112,-('Eingabeblatt 1'!$L$40)*(1+'Eingabeblatt 1'!$J$40)^D112),"")</f>
        <v>-461817.56707200524</v>
      </c>
      <c r="H112" s="66">
        <f>IF(A112&lt;='Eingabeblatt 1'!$D$18,H111*(1+'Eingabeblatt 1'!$J$42),"")</f>
        <v>-467402.64013101329</v>
      </c>
      <c r="I112" s="66">
        <f>IF(A112&lt;='Eingabeblatt 1'!$D$18,(-'Eingabeblatt 1'!$L$45*(1+'Eingabeblatt 1'!$J$45)^Ergebnis!D112)-('Eingabeblatt 1'!$L$46*(1+'Eingabeblatt 1'!$J$46)^Ergebnis!D112)-('Eingabeblatt 1'!$L$47*(1+'Eingabeblatt 1'!$J$47)^Ergebnis!D112),"")</f>
        <v>-252908.62064334255</v>
      </c>
      <c r="J112" s="67">
        <f>IF(A111&lt;='Eingabeblatt 1'!$D$18,'Eingabeblatt 1'!$D$51*(1+'Eingabeblatt 1'!$J$51)^Ergebnis!D112,"")</f>
        <v>0</v>
      </c>
      <c r="K112" s="68">
        <f t="shared" si="12"/>
        <v>0</v>
      </c>
      <c r="L112" s="68">
        <f>IF(D112&lt;='Eingabeblatt 1'!$D$18,(SUMIFS('Eingabeblatt 2'!$K$14:$K$53,'Eingabeblatt 2'!$E$14:$E$53,Ergebnis!D112))*(1+'Eingabeblatt 1'!$J$34)^Ergebnis!D112,"")</f>
        <v>0</v>
      </c>
      <c r="M112" s="373">
        <f>IF(A112&lt;='Eingabeblatt 1'!$D$18,SUM(G112:L112)+E112,"")</f>
        <v>-1182128.8278463611</v>
      </c>
      <c r="N112" s="83">
        <f>IF(A112&lt;='Eingabeblatt 1'!$D$18,(E112+G112+I112+H112+J112+K112+L112)/(1+'Eingabeblatt 1'!$D$19)^D112,"")</f>
        <v>-682649.94276662159</v>
      </c>
      <c r="O112" s="419">
        <f>IF(A112&lt;='Eingabeblatt 1'!$D$18,O111+N112,"")</f>
        <v>-49889391.22667814</v>
      </c>
      <c r="P112" s="89"/>
      <c r="Q112" s="89"/>
      <c r="R112" s="93">
        <f>(((40-D112)/40*$Q$98))*('Eingabeblatt 1'!$D$20)+$Q$98/40</f>
        <v>109326</v>
      </c>
      <c r="S112" s="93"/>
      <c r="T112" s="93">
        <f>(((30-D112)/30*$S$98))*('Eingabeblatt 1'!$D$20)+$S$98/30</f>
        <v>0</v>
      </c>
      <c r="U112" s="93"/>
      <c r="V112" s="93">
        <f>(((20-D112)/20*$U$98))*('Eingabeblatt 1'!$D$20)+$U$98/20</f>
        <v>520442.72</v>
      </c>
      <c r="W112" s="93"/>
      <c r="X112" s="93">
        <f>(((10-D103)/10*$W$108))*('Eingabeblatt 1'!$D$20)+$W$108/10</f>
        <v>656609.80000000005</v>
      </c>
      <c r="Y112" s="97">
        <f t="shared" si="11"/>
        <v>1286378.52</v>
      </c>
      <c r="Z112" s="89"/>
      <c r="AA112" s="89"/>
      <c r="AB112" s="89"/>
      <c r="AC112" s="89"/>
      <c r="AD112" s="89"/>
      <c r="AE112" s="89"/>
      <c r="AF112" s="89"/>
      <c r="AG112" s="90"/>
      <c r="AH112" s="90"/>
      <c r="AI112" s="90"/>
      <c r="AJ112" s="90"/>
      <c r="AK112" s="89"/>
      <c r="AL112" s="89"/>
      <c r="AM112" s="89"/>
      <c r="AN112" s="89"/>
      <c r="AO112" s="89"/>
      <c r="AP112" s="89"/>
      <c r="AQ112" s="89"/>
      <c r="AR112" s="89"/>
      <c r="AS112" s="89"/>
      <c r="AT112" s="89"/>
      <c r="AU112" s="89"/>
      <c r="AV112" s="89"/>
      <c r="AW112" s="89"/>
      <c r="AX112" s="89"/>
      <c r="AY112" s="87"/>
      <c r="AZ112" s="87"/>
      <c r="BA112" s="87"/>
      <c r="BB112" s="87"/>
      <c r="BC112" s="87"/>
      <c r="BD112" s="87"/>
      <c r="BE112" s="87"/>
      <c r="BF112" s="87"/>
      <c r="BG112" s="87"/>
      <c r="BH112" s="87"/>
      <c r="BI112" s="87"/>
      <c r="BJ112" s="87"/>
      <c r="BK112" s="87"/>
      <c r="BL112" s="87"/>
      <c r="BM112" s="87"/>
      <c r="BN112" s="87"/>
      <c r="BO112" s="87"/>
      <c r="BP112" s="87"/>
      <c r="BQ112" s="87"/>
      <c r="BR112" s="87"/>
      <c r="BS112" s="87"/>
      <c r="BT112" s="87"/>
      <c r="BU112" s="87"/>
      <c r="BV112" s="87"/>
      <c r="BW112" s="87"/>
      <c r="BX112" s="87"/>
      <c r="BY112" s="87"/>
      <c r="BZ112" s="87"/>
      <c r="CA112" s="87"/>
      <c r="CB112" s="87"/>
      <c r="CC112" s="87"/>
      <c r="CD112" s="87"/>
      <c r="CE112" s="87"/>
      <c r="CF112" s="87"/>
      <c r="CG112" s="87"/>
      <c r="CH112" s="87"/>
      <c r="CI112" s="87"/>
      <c r="CJ112" s="87"/>
      <c r="CK112" s="87"/>
      <c r="CL112" s="87"/>
      <c r="CM112" s="87"/>
      <c r="CN112" s="87"/>
      <c r="CO112" s="87"/>
      <c r="CP112" s="87"/>
      <c r="CQ112" s="87"/>
      <c r="CR112" s="87"/>
      <c r="CS112" s="87"/>
      <c r="CT112" s="87"/>
      <c r="CU112" s="87"/>
      <c r="CV112" s="87"/>
      <c r="CW112" s="87"/>
      <c r="CX112" s="87"/>
    </row>
    <row r="113" spans="1:102" x14ac:dyDescent="0.3">
      <c r="A113" s="28">
        <v>15</v>
      </c>
      <c r="B113" s="20"/>
      <c r="C113" s="62">
        <f>IF(A113&lt;='Eingabeblatt 1'!$D$18,C112+1,"")</f>
        <v>2033</v>
      </c>
      <c r="D113" s="63">
        <f>IF(A113&lt;='Eingabeblatt 1'!$D$18,D112+1,"")</f>
        <v>15</v>
      </c>
      <c r="E113" s="64">
        <f>IF(A113&lt;='Eingabeblatt 1'!$D$18,IF(D113='Eingabeblatt 1'!$D$34,-'Eingabeblatt 1'!$L$34*(1+'Eingabeblatt 1'!$J$34)^D113,IF(D113='Eingabeblatt 1'!$D$35,-'Eingabeblatt 1'!$L$35*(1+'Eingabeblatt 1'!$J$35)^D113,IF(D113='Eingabeblatt 1'!$D$36,-'Eingabeblatt 1'!$L$36*(1+'Eingabeblatt 1'!$J$36)^D113,0))),"")</f>
        <v>0</v>
      </c>
      <c r="F113" s="64">
        <f t="shared" si="10"/>
        <v>-1263708.04</v>
      </c>
      <c r="G113" s="65">
        <f>IF(A113&lt;='Eingabeblatt 1'!$D$18,IF(D113='Eingabeblatt 1'!$D$41,-('Eingabeblatt 1'!$L$40+'Eingabeblatt 1'!$L$41)*(1+'Eingabeblatt 1'!$J$40)^D113,-('Eingabeblatt 1'!$L$40)*(1+'Eingabeblatt 1'!$J$40)^D113),"")</f>
        <v>-471053.91841344524</v>
      </c>
      <c r="H113" s="66">
        <f>IF(A113&lt;='Eingabeblatt 1'!$D$18,H112*(1+'Eingabeblatt 1'!$J$42),"")</f>
        <v>-477919.19953396107</v>
      </c>
      <c r="I113" s="66">
        <f>IF(A113&lt;='Eingabeblatt 1'!$D$18,(-'Eingabeblatt 1'!$L$45*(1+'Eingabeblatt 1'!$J$45)^Ergebnis!D113)-('Eingabeblatt 1'!$L$46*(1+'Eingabeblatt 1'!$J$46)^Ergebnis!D113)-('Eingabeblatt 1'!$L$47*(1+'Eingabeblatt 1'!$J$47)^Ergebnis!D113),"")</f>
        <v>-254733.72588202264</v>
      </c>
      <c r="J113" s="67">
        <f>IF(A112&lt;='Eingabeblatt 1'!$D$18,'Eingabeblatt 1'!$D$51*(1+'Eingabeblatt 1'!$J$51)^Ergebnis!D113,"")</f>
        <v>0</v>
      </c>
      <c r="K113" s="68">
        <f t="shared" si="12"/>
        <v>0</v>
      </c>
      <c r="L113" s="68">
        <f>IF(D113&lt;='Eingabeblatt 1'!$D$18,(SUMIFS('Eingabeblatt 2'!$K$14:$K$53,'Eingabeblatt 2'!$E$14:$E$53,Ergebnis!D113))*(1+'Eingabeblatt 1'!$J$34)^Ergebnis!D113,"")</f>
        <v>0</v>
      </c>
      <c r="M113" s="373">
        <f>IF(A113&lt;='Eingabeblatt 1'!$D$18,SUM(G113:L113)+E113,"")</f>
        <v>-1203706.843829429</v>
      </c>
      <c r="N113" s="83">
        <f>IF(A113&lt;='Eingabeblatt 1'!$D$18,(E113+G113+I113+H113+J113+K113+L113)/(1+'Eingabeblatt 1'!$D$19)^D113,"")</f>
        <v>-668375.68205151346</v>
      </c>
      <c r="O113" s="419">
        <f>IF(A113&lt;='Eingabeblatt 1'!$D$18,O112+N113,"")</f>
        <v>-50557766.908729658</v>
      </c>
      <c r="P113" s="89"/>
      <c r="Q113" s="89"/>
      <c r="R113" s="93">
        <f>(((40-D113)/40*$Q$98))*('Eingabeblatt 1'!$D$20)+$Q$98/40</f>
        <v>107887.5</v>
      </c>
      <c r="S113" s="93"/>
      <c r="T113" s="93">
        <f>(((30-D113)/30*$S$98))*('Eingabeblatt 1'!$D$20)+$S$98/30</f>
        <v>0</v>
      </c>
      <c r="U113" s="93"/>
      <c r="V113" s="93">
        <f>(((20-D113)/20*$U$98))*('Eingabeblatt 1'!$D$20)+$U$98/20</f>
        <v>511149.1</v>
      </c>
      <c r="W113" s="93"/>
      <c r="X113" s="93">
        <f>(((10-D104)/10*$W$108))*('Eingabeblatt 1'!$D$20)+$W$108/10</f>
        <v>644671.43999999994</v>
      </c>
      <c r="Y113" s="97">
        <f t="shared" si="11"/>
        <v>1263708.04</v>
      </c>
      <c r="Z113" s="89"/>
      <c r="AA113" s="89"/>
      <c r="AB113" s="89"/>
      <c r="AC113" s="89"/>
      <c r="AD113" s="89"/>
      <c r="AE113" s="89"/>
      <c r="AF113" s="89"/>
      <c r="AG113" s="90"/>
      <c r="AH113" s="90"/>
      <c r="AI113" s="90"/>
      <c r="AJ113" s="90"/>
      <c r="AK113" s="89"/>
      <c r="AL113" s="89"/>
      <c r="AM113" s="89"/>
      <c r="AN113" s="89"/>
      <c r="AO113" s="89"/>
      <c r="AP113" s="89"/>
      <c r="AQ113" s="89"/>
      <c r="AR113" s="89"/>
      <c r="AS113" s="89"/>
      <c r="AT113" s="89"/>
      <c r="AU113" s="89"/>
      <c r="AV113" s="89"/>
      <c r="AW113" s="89"/>
      <c r="AX113" s="89"/>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87"/>
      <c r="BU113" s="87"/>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row>
    <row r="114" spans="1:102" x14ac:dyDescent="0.3">
      <c r="A114" s="28">
        <v>16</v>
      </c>
      <c r="B114" s="20"/>
      <c r="C114" s="62">
        <f>IF(A114&lt;='Eingabeblatt 1'!$D$18,C113+1,"")</f>
        <v>2034</v>
      </c>
      <c r="D114" s="63">
        <f>IF(A114&lt;='Eingabeblatt 1'!$D$18,D113+1,"")</f>
        <v>16</v>
      </c>
      <c r="E114" s="64">
        <f>IF(A114&lt;='Eingabeblatt 1'!$D$18,IF(D114='Eingabeblatt 1'!$D$34,-'Eingabeblatt 1'!$L$34*(1+'Eingabeblatt 1'!$J$34)^D114,IF(D114='Eingabeblatt 1'!$D$35,-'Eingabeblatt 1'!$L$35*(1+'Eingabeblatt 1'!$J$35)^D114,IF(D114='Eingabeblatt 1'!$D$36,-'Eingabeblatt 1'!$L$36*(1+'Eingabeblatt 1'!$J$36)^D114,0))),"")</f>
        <v>0</v>
      </c>
      <c r="F114" s="64">
        <f t="shared" si="10"/>
        <v>-1241037.56</v>
      </c>
      <c r="G114" s="65">
        <f>IF(A114&lt;='Eingabeblatt 1'!$D$18,IF(D114='Eingabeblatt 1'!$D$41,-('Eingabeblatt 1'!$L$40+'Eingabeblatt 1'!$L$41)*(1+'Eingabeblatt 1'!$J$40)^D114,-('Eingabeblatt 1'!$L$40)*(1+'Eingabeblatt 1'!$J$40)^D114),"")</f>
        <v>-480474.9967817142</v>
      </c>
      <c r="H114" s="66">
        <f>IF(A114&lt;='Eingabeblatt 1'!$D$18,H113*(1+'Eingabeblatt 1'!$J$42),"")</f>
        <v>-488672.38152347517</v>
      </c>
      <c r="I114" s="66">
        <f>IF(A114&lt;='Eingabeblatt 1'!$D$18,(-'Eingabeblatt 1'!$L$45*(1+'Eingabeblatt 1'!$J$45)^Ergebnis!D114)-('Eingabeblatt 1'!$L$46*(1+'Eingabeblatt 1'!$J$46)^Ergebnis!D114)-('Eingabeblatt 1'!$L$47*(1+'Eingabeblatt 1'!$J$47)^Ergebnis!D114),"")</f>
        <v>-256573.56226825085</v>
      </c>
      <c r="J114" s="67">
        <f>IF(A113&lt;='Eingabeblatt 1'!$D$18,'Eingabeblatt 1'!$D$51*(1+'Eingabeblatt 1'!$J$51)^Ergebnis!D114,"")</f>
        <v>0</v>
      </c>
      <c r="K114" s="68">
        <f t="shared" si="12"/>
        <v>0</v>
      </c>
      <c r="L114" s="68">
        <f>IF(D114&lt;='Eingabeblatt 1'!$D$18,(SUMIFS('Eingabeblatt 2'!$K$14:$K$53,'Eingabeblatt 2'!$E$14:$E$53,Ergebnis!D114))*(1+'Eingabeblatt 1'!$J$34)^Ergebnis!D114,"")</f>
        <v>0</v>
      </c>
      <c r="M114" s="373">
        <f>IF(A114&lt;='Eingabeblatt 1'!$D$18,SUM(G114:L114)+E114,"")</f>
        <v>-1225720.9405734402</v>
      </c>
      <c r="N114" s="83">
        <f>IF(A114&lt;='Eingabeblatt 1'!$D$18,(E114+G114+I114+H114+J114+K114+L114)/(1+'Eingabeblatt 1'!$D$19)^D114,"")</f>
        <v>-654422.43128149875</v>
      </c>
      <c r="O114" s="419">
        <f>IF(A114&lt;='Eingabeblatt 1'!$D$18,O113+N114,"")</f>
        <v>-51212189.340011157</v>
      </c>
      <c r="P114" s="89"/>
      <c r="Q114" s="89"/>
      <c r="R114" s="93">
        <f>(((40-D114)/40*$Q$98))*('Eingabeblatt 1'!$D$20)+$Q$98/40</f>
        <v>106449</v>
      </c>
      <c r="S114" s="93"/>
      <c r="T114" s="93">
        <f>(((30-D114)/30*$S$98))*('Eingabeblatt 1'!$D$20)+$S$98/30</f>
        <v>0</v>
      </c>
      <c r="U114" s="93"/>
      <c r="V114" s="93">
        <f>(((20-D114)/20*$U$98))*('Eingabeblatt 1'!$D$20)+$U$98/20</f>
        <v>501855.48</v>
      </c>
      <c r="W114" s="93"/>
      <c r="X114" s="93">
        <f>(((10-D105)/10*$W$108))*('Eingabeblatt 1'!$D$20)+$W$108/10</f>
        <v>632733.07999999996</v>
      </c>
      <c r="Y114" s="97">
        <f t="shared" si="11"/>
        <v>1241037.56</v>
      </c>
      <c r="Z114" s="89"/>
      <c r="AA114" s="89"/>
      <c r="AB114" s="89"/>
      <c r="AC114" s="89"/>
      <c r="AD114" s="89"/>
      <c r="AE114" s="89"/>
      <c r="AF114" s="89"/>
      <c r="AG114" s="90"/>
      <c r="AH114" s="90"/>
      <c r="AI114" s="90"/>
      <c r="AJ114" s="90"/>
      <c r="AK114" s="89"/>
      <c r="AL114" s="89"/>
      <c r="AM114" s="89"/>
      <c r="AN114" s="89"/>
      <c r="AO114" s="89"/>
      <c r="AP114" s="89"/>
      <c r="AQ114" s="89"/>
      <c r="AR114" s="89"/>
      <c r="AS114" s="89"/>
      <c r="AT114" s="89"/>
      <c r="AU114" s="89"/>
      <c r="AV114" s="89"/>
      <c r="AW114" s="89"/>
      <c r="AX114" s="89"/>
      <c r="AY114" s="87"/>
      <c r="AZ114" s="87"/>
      <c r="BA114" s="87"/>
      <c r="BB114" s="87"/>
      <c r="BC114" s="87"/>
      <c r="BD114" s="87"/>
      <c r="BE114" s="87"/>
      <c r="BF114" s="87"/>
      <c r="BG114" s="87"/>
      <c r="BH114" s="87"/>
      <c r="BI114" s="87"/>
      <c r="BJ114" s="87"/>
      <c r="BK114" s="87"/>
      <c r="BL114" s="87"/>
      <c r="BM114" s="87"/>
      <c r="BN114" s="87"/>
      <c r="BO114" s="87"/>
      <c r="BP114" s="87"/>
      <c r="BQ114" s="87"/>
      <c r="BR114" s="87"/>
      <c r="BS114" s="87"/>
      <c r="BT114" s="87"/>
      <c r="BU114" s="87"/>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row>
    <row r="115" spans="1:102" x14ac:dyDescent="0.3">
      <c r="A115" s="28">
        <v>17</v>
      </c>
      <c r="C115" s="62">
        <f>IF(A115&lt;='Eingabeblatt 1'!$D$18,C114+1,"")</f>
        <v>2035</v>
      </c>
      <c r="D115" s="63">
        <f>IF(A115&lt;='Eingabeblatt 1'!$D$18,D114+1,"")</f>
        <v>17</v>
      </c>
      <c r="E115" s="64">
        <f>IF(A115&lt;='Eingabeblatt 1'!$D$18,IF(D115='Eingabeblatt 1'!$D$34,-'Eingabeblatt 1'!$L$34*(1+'Eingabeblatt 1'!$J$34)^D115,IF(D115='Eingabeblatt 1'!$D$35,-'Eingabeblatt 1'!$L$35*(1+'Eingabeblatt 1'!$J$35)^D115,IF(D115='Eingabeblatt 1'!$D$36,-'Eingabeblatt 1'!$L$36*(1+'Eingabeblatt 1'!$J$36)^D115,0))),"")</f>
        <v>0</v>
      </c>
      <c r="F115" s="64">
        <f t="shared" si="10"/>
        <v>-1218367.08</v>
      </c>
      <c r="G115" s="65">
        <f>IF(A115&lt;='Eingabeblatt 1'!$D$18,IF(D115='Eingabeblatt 1'!$D$41,-('Eingabeblatt 1'!$L$40+'Eingabeblatt 1'!$L$41)*(1+'Eingabeblatt 1'!$J$40)^D115,-('Eingabeblatt 1'!$L$40)*(1+'Eingabeblatt 1'!$J$40)^D115),"")</f>
        <v>-490084.49671734852</v>
      </c>
      <c r="H115" s="66">
        <f>IF(A115&lt;='Eingabeblatt 1'!$D$18,H114*(1+'Eingabeblatt 1'!$J$42),"")</f>
        <v>-499667.51010775333</v>
      </c>
      <c r="I115" s="66">
        <f>IF(A115&lt;='Eingabeblatt 1'!$D$18,(-'Eingabeblatt 1'!$L$45*(1+'Eingabeblatt 1'!$J$45)^Ergebnis!D115)-('Eingabeblatt 1'!$L$46*(1+'Eingabeblatt 1'!$J$46)^Ergebnis!D115)-('Eingabeblatt 1'!$L$47*(1+'Eingabeblatt 1'!$J$47)^Ergebnis!D115),"")</f>
        <v>-258428.25951397835</v>
      </c>
      <c r="J115" s="67">
        <f>IF(A114&lt;='Eingabeblatt 1'!$D$18,'Eingabeblatt 1'!$D$51*(1+'Eingabeblatt 1'!$J$51)^Ergebnis!D115,"")</f>
        <v>0</v>
      </c>
      <c r="K115" s="68">
        <f t="shared" si="12"/>
        <v>0</v>
      </c>
      <c r="L115" s="68">
        <f>IF(D115&lt;='Eingabeblatt 1'!$D$18,(SUMIFS('Eingabeblatt 2'!$K$14:$K$53,'Eingabeblatt 2'!$E$14:$E$53,Ergebnis!D115))*(1+'Eingabeblatt 1'!$J$34)^Ergebnis!D115,"")</f>
        <v>0</v>
      </c>
      <c r="M115" s="373">
        <f>IF(A115&lt;='Eingabeblatt 1'!$D$18,SUM(G115:L115)+E115,"")</f>
        <v>-1248180.2663390802</v>
      </c>
      <c r="N115" s="83">
        <f>IF(A115&lt;='Eingabeblatt 1'!$D$18,(E115+G115+I115+H115+J115+K115+L115)/(1+'Eingabeblatt 1'!$D$19)^D115,"")</f>
        <v>-640782.35473862069</v>
      </c>
      <c r="O115" s="419">
        <f>IF(A115&lt;='Eingabeblatt 1'!$D$18,O114+N115,"")</f>
        <v>-51852971.69474978</v>
      </c>
      <c r="P115" s="89"/>
      <c r="Q115" s="89"/>
      <c r="R115" s="93">
        <f>(((40-D115)/40*$Q$98))*('Eingabeblatt 1'!$D$20)+$Q$98/40</f>
        <v>105010.5</v>
      </c>
      <c r="S115" s="93"/>
      <c r="T115" s="93">
        <f>(((30-D115)/30*$S$98))*('Eingabeblatt 1'!$D$20)+$S$98/30</f>
        <v>0</v>
      </c>
      <c r="U115" s="93"/>
      <c r="V115" s="93">
        <f>(((20-D115)/20*$U$98))*('Eingabeblatt 1'!$D$20)+$U$98/20</f>
        <v>492561.86</v>
      </c>
      <c r="W115" s="93"/>
      <c r="X115" s="93">
        <f>(((10-D106)/10*$W$108))*('Eingabeblatt 1'!$D$20)+$W$108/10</f>
        <v>620794.72</v>
      </c>
      <c r="Y115" s="97">
        <f t="shared" si="11"/>
        <v>1218367.08</v>
      </c>
      <c r="Z115" s="89"/>
      <c r="AA115" s="89"/>
      <c r="AB115" s="89"/>
      <c r="AC115" s="89"/>
      <c r="AD115" s="89"/>
      <c r="AE115" s="89"/>
      <c r="AF115" s="89"/>
      <c r="AG115" s="90"/>
      <c r="AH115" s="90"/>
      <c r="AI115" s="90"/>
      <c r="AJ115" s="90"/>
      <c r="AK115" s="89"/>
      <c r="AL115" s="89"/>
      <c r="AM115" s="89"/>
      <c r="AN115" s="89"/>
      <c r="AO115" s="89"/>
      <c r="AP115" s="89"/>
      <c r="AQ115" s="89"/>
      <c r="AR115" s="89"/>
      <c r="AS115" s="89"/>
      <c r="AT115" s="89"/>
      <c r="AU115" s="89"/>
      <c r="AV115" s="89"/>
      <c r="AW115" s="89"/>
      <c r="AX115" s="89"/>
      <c r="AY115" s="87"/>
      <c r="AZ115" s="87"/>
      <c r="BA115" s="87"/>
      <c r="BB115" s="87"/>
      <c r="BC115" s="87"/>
      <c r="BD115" s="87"/>
      <c r="BE115" s="87"/>
      <c r="BF115" s="87"/>
      <c r="BG115" s="87"/>
      <c r="BH115" s="87"/>
      <c r="BI115" s="87"/>
      <c r="BJ115" s="87"/>
      <c r="BK115" s="87"/>
      <c r="BL115" s="87"/>
      <c r="BM115" s="87"/>
      <c r="BN115" s="87"/>
      <c r="BO115" s="87"/>
      <c r="BP115" s="87"/>
      <c r="BQ115" s="87"/>
      <c r="BR115" s="87"/>
      <c r="BS115" s="87"/>
      <c r="BT115" s="87"/>
      <c r="BU115" s="87"/>
      <c r="BV115" s="87"/>
      <c r="BW115" s="87"/>
      <c r="BX115" s="87"/>
      <c r="BY115" s="87"/>
      <c r="BZ115" s="87"/>
      <c r="CA115" s="87"/>
      <c r="CB115" s="87"/>
      <c r="CC115" s="87"/>
      <c r="CD115" s="87"/>
      <c r="CE115" s="87"/>
      <c r="CF115" s="87"/>
      <c r="CG115" s="87"/>
      <c r="CH115" s="87"/>
      <c r="CI115" s="87"/>
      <c r="CJ115" s="87"/>
      <c r="CK115" s="87"/>
      <c r="CL115" s="87"/>
      <c r="CM115" s="87"/>
      <c r="CN115" s="87"/>
      <c r="CO115" s="87"/>
      <c r="CP115" s="87"/>
      <c r="CQ115" s="87"/>
      <c r="CR115" s="87"/>
      <c r="CS115" s="87"/>
      <c r="CT115" s="87"/>
      <c r="CU115" s="87"/>
      <c r="CV115" s="87"/>
      <c r="CW115" s="87"/>
      <c r="CX115" s="87"/>
    </row>
    <row r="116" spans="1:102" x14ac:dyDescent="0.3">
      <c r="A116" s="28">
        <v>18</v>
      </c>
      <c r="C116" s="62">
        <f>IF(A116&lt;='Eingabeblatt 1'!$D$18,C115+1,"")</f>
        <v>2036</v>
      </c>
      <c r="D116" s="63">
        <f>IF(A116&lt;='Eingabeblatt 1'!$D$18,D115+1,"")</f>
        <v>18</v>
      </c>
      <c r="E116" s="64">
        <f>IF(A116&lt;='Eingabeblatt 1'!$D$18,IF(D116='Eingabeblatt 1'!$D$34,-'Eingabeblatt 1'!$L$34*(1+'Eingabeblatt 1'!$J$34)^D116,IF(D116='Eingabeblatt 1'!$D$35,-'Eingabeblatt 1'!$L$35*(1+'Eingabeblatt 1'!$J$35)^D116,IF(D116='Eingabeblatt 1'!$D$36,-'Eingabeblatt 1'!$L$36*(1+'Eingabeblatt 1'!$J$36)^D116,0))),"")</f>
        <v>0</v>
      </c>
      <c r="F116" s="64">
        <f t="shared" si="10"/>
        <v>-1195696.6000000001</v>
      </c>
      <c r="G116" s="65">
        <f>IF(A116&lt;='Eingabeblatt 1'!$D$18,IF(D116='Eingabeblatt 1'!$D$41,-('Eingabeblatt 1'!$L$40+'Eingabeblatt 1'!$L$41)*(1+'Eingabeblatt 1'!$J$40)^D116,-('Eingabeblatt 1'!$L$40)*(1+'Eingabeblatt 1'!$J$40)^D116),"")</f>
        <v>-499886.18665169546</v>
      </c>
      <c r="H116" s="66">
        <f>IF(A116&lt;='Eingabeblatt 1'!$D$18,H115*(1+'Eingabeblatt 1'!$J$42),"")</f>
        <v>-510910.02908517775</v>
      </c>
      <c r="I116" s="66">
        <f>IF(A116&lt;='Eingabeblatt 1'!$D$18,(-'Eingabeblatt 1'!$L$45*(1+'Eingabeblatt 1'!$J$45)^Ergebnis!D116)-('Eingabeblatt 1'!$L$46*(1+'Eingabeblatt 1'!$J$46)^Ergebnis!D116)-('Eingabeblatt 1'!$L$47*(1+'Eingabeblatt 1'!$J$47)^Ergebnis!D116),"")</f>
        <v>-260297.9485402783</v>
      </c>
      <c r="J116" s="67">
        <f>IF(A115&lt;='Eingabeblatt 1'!$D$18,'Eingabeblatt 1'!$D$51*(1+'Eingabeblatt 1'!$J$51)^Ergebnis!D116,"")</f>
        <v>0</v>
      </c>
      <c r="K116" s="68">
        <f t="shared" si="12"/>
        <v>0</v>
      </c>
      <c r="L116" s="68">
        <f>IF(D116&lt;='Eingabeblatt 1'!$D$18,(SUMIFS('Eingabeblatt 2'!$K$14:$K$53,'Eingabeblatt 2'!$E$14:$E$53,Ergebnis!D116))*(1+'Eingabeblatt 1'!$J$34)^Ergebnis!D116,"")</f>
        <v>0</v>
      </c>
      <c r="M116" s="373">
        <f>IF(A116&lt;='Eingabeblatt 1'!$D$18,SUM(G116:L116)+E116,"")</f>
        <v>-1271094.1642771515</v>
      </c>
      <c r="N116" s="83">
        <f>IF(A116&lt;='Eingabeblatt 1'!$D$18,(E116+G116+I116+H116+J116+K116+L116)/(1+'Eingabeblatt 1'!$D$19)^D116,"")</f>
        <v>-627447.82394058118</v>
      </c>
      <c r="O116" s="419">
        <f>IF(A116&lt;='Eingabeblatt 1'!$D$18,O115+N116,"")</f>
        <v>-52480419.518690363</v>
      </c>
      <c r="P116" s="89"/>
      <c r="Q116" s="89"/>
      <c r="R116" s="93">
        <f>(((40-D116)/40*$Q$98))*('Eingabeblatt 1'!$D$20)+$Q$98/40</f>
        <v>103572</v>
      </c>
      <c r="S116" s="93"/>
      <c r="T116" s="93">
        <f>(((30-D116)/30*$S$98))*('Eingabeblatt 1'!$D$20)+$S$98/30</f>
        <v>0</v>
      </c>
      <c r="U116" s="93"/>
      <c r="V116" s="93">
        <f>(((20-D116)/20*$U$98))*('Eingabeblatt 1'!$D$20)+$U$98/20</f>
        <v>483268.24</v>
      </c>
      <c r="W116" s="93"/>
      <c r="X116" s="93">
        <f>(((10-D107)/10*$W$108))*('Eingabeblatt 1'!$D$20)+$W$108/10</f>
        <v>608856.36</v>
      </c>
      <c r="Y116" s="97">
        <f t="shared" si="11"/>
        <v>1195696.6000000001</v>
      </c>
      <c r="Z116" s="89"/>
      <c r="AA116" s="89"/>
      <c r="AB116" s="89"/>
      <c r="AC116" s="89"/>
      <c r="AD116" s="89"/>
      <c r="AE116" s="89"/>
      <c r="AF116" s="89"/>
      <c r="AG116" s="90"/>
      <c r="AH116" s="90"/>
      <c r="AI116" s="90"/>
      <c r="AJ116" s="90"/>
      <c r="AK116" s="89"/>
      <c r="AL116" s="89"/>
      <c r="AM116" s="89"/>
      <c r="AN116" s="89"/>
      <c r="AO116" s="89"/>
      <c r="AP116" s="89"/>
      <c r="AQ116" s="89"/>
      <c r="AR116" s="89"/>
      <c r="AS116" s="89"/>
      <c r="AT116" s="89"/>
      <c r="AU116" s="89"/>
      <c r="AV116" s="89"/>
      <c r="AW116" s="89"/>
      <c r="AX116" s="89"/>
      <c r="AY116" s="87"/>
      <c r="AZ116" s="87"/>
      <c r="BA116" s="87"/>
      <c r="BB116" s="87"/>
      <c r="BC116" s="87"/>
      <c r="BD116" s="87"/>
      <c r="BE116" s="87"/>
      <c r="BF116" s="87"/>
      <c r="BG116" s="87"/>
      <c r="BH116" s="87"/>
      <c r="BI116" s="87"/>
      <c r="BJ116" s="87"/>
      <c r="BK116" s="87"/>
      <c r="BL116" s="87"/>
      <c r="BM116" s="87"/>
      <c r="BN116" s="87"/>
      <c r="BO116" s="87"/>
      <c r="BP116" s="87"/>
      <c r="BQ116" s="87"/>
      <c r="BR116" s="87"/>
      <c r="BS116" s="87"/>
      <c r="BT116" s="87"/>
      <c r="BU116" s="87"/>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c r="CS116" s="87"/>
      <c r="CT116" s="87"/>
      <c r="CU116" s="87"/>
      <c r="CV116" s="87"/>
      <c r="CW116" s="87"/>
      <c r="CX116" s="87"/>
    </row>
    <row r="117" spans="1:102" x14ac:dyDescent="0.3">
      <c r="A117" s="28">
        <v>19</v>
      </c>
      <c r="C117" s="62">
        <f>IF(A117&lt;='Eingabeblatt 1'!$D$18,C116+1,"")</f>
        <v>2037</v>
      </c>
      <c r="D117" s="63">
        <f>IF(A117&lt;='Eingabeblatt 1'!$D$18,D116+1,"")</f>
        <v>19</v>
      </c>
      <c r="E117" s="64">
        <f>IF(A117&lt;='Eingabeblatt 1'!$D$18,IF(D117='Eingabeblatt 1'!$D$34,-'Eingabeblatt 1'!$L$34*(1+'Eingabeblatt 1'!$J$34)^D117,IF(D117='Eingabeblatt 1'!$D$35,-'Eingabeblatt 1'!$L$35*(1+'Eingabeblatt 1'!$J$35)^D117,IF(D117='Eingabeblatt 1'!$D$36,-'Eingabeblatt 1'!$L$36*(1+'Eingabeblatt 1'!$J$36)^D117,0))),"")</f>
        <v>0</v>
      </c>
      <c r="F117" s="64">
        <f t="shared" si="10"/>
        <v>-1173026.1200000001</v>
      </c>
      <c r="G117" s="65">
        <f>IF(A117&lt;='Eingabeblatt 1'!$D$18,IF(D117='Eingabeblatt 1'!$D$41,-('Eingabeblatt 1'!$L$40+'Eingabeblatt 1'!$L$41)*(1+'Eingabeblatt 1'!$J$40)^D117,-('Eingabeblatt 1'!$L$40)*(1+'Eingabeblatt 1'!$J$40)^D117),"")</f>
        <v>-509883.91038472933</v>
      </c>
      <c r="H117" s="66">
        <f>IF(A117&lt;='Eingabeblatt 1'!$D$18,H116*(1+'Eingabeblatt 1'!$J$42),"")</f>
        <v>-522405.50473959424</v>
      </c>
      <c r="I117" s="66">
        <f>IF(A117&lt;='Eingabeblatt 1'!$D$18,(-'Eingabeblatt 1'!$L$45*(1+'Eingabeblatt 1'!$J$45)^Ergebnis!D117)-('Eingabeblatt 1'!$L$46*(1+'Eingabeblatt 1'!$J$46)^Ergebnis!D117)-('Eingabeblatt 1'!$L$47*(1+'Eingabeblatt 1'!$J$47)^Ergebnis!D117),"")</f>
        <v>-262182.76148899709</v>
      </c>
      <c r="J117" s="67">
        <f>IF(A116&lt;='Eingabeblatt 1'!$D$18,'Eingabeblatt 1'!$D$51*(1+'Eingabeblatt 1'!$J$51)^Ergebnis!D117,"")</f>
        <v>0</v>
      </c>
      <c r="K117" s="68">
        <f t="shared" si="12"/>
        <v>0</v>
      </c>
      <c r="L117" s="68">
        <f>IF(D117&lt;='Eingabeblatt 1'!$D$18,(SUMIFS('Eingabeblatt 2'!$K$14:$K$53,'Eingabeblatt 2'!$E$14:$E$53,Ergebnis!D117))*(1+'Eingabeblatt 1'!$J$34)^Ergebnis!D117,"")</f>
        <v>0</v>
      </c>
      <c r="M117" s="373">
        <f>IF(A117&lt;='Eingabeblatt 1'!$D$18,SUM(G117:L117)+E117,"")</f>
        <v>-1294472.1766133206</v>
      </c>
      <c r="N117" s="83">
        <f>IF(A117&lt;='Eingabeblatt 1'!$D$18,(E117+G117+I117+H117+J117+K117+L117)/(1+'Eingabeblatt 1'!$D$19)^D117,"")</f>
        <v>-614411.41177217674</v>
      </c>
      <c r="O117" s="419">
        <f>IF(A117&lt;='Eingabeblatt 1'!$D$18,O116+N117,"")</f>
        <v>-53094830.930462539</v>
      </c>
      <c r="P117" s="89"/>
      <c r="Q117" s="89"/>
      <c r="R117" s="93">
        <f>(((40-D117)/40*$Q$98))*('Eingabeblatt 1'!$D$20)+$Q$98/40</f>
        <v>102133.5</v>
      </c>
      <c r="S117" s="93"/>
      <c r="T117" s="93">
        <f>(((30-D117)/30*$S$98))*('Eingabeblatt 1'!$D$20)+$S$98/30</f>
        <v>0</v>
      </c>
      <c r="U117" s="93"/>
      <c r="V117" s="93">
        <f>(((20-D117)/20*$U$98))*('Eingabeblatt 1'!$D$20)+$U$98/20</f>
        <v>473974.62</v>
      </c>
      <c r="W117" s="93"/>
      <c r="X117" s="93">
        <f>(((10-D108)/10*$W$108))*('Eingabeblatt 1'!$D$20)+$W$108/10</f>
        <v>596918</v>
      </c>
      <c r="Y117" s="97">
        <f t="shared" si="11"/>
        <v>1173026.1200000001</v>
      </c>
      <c r="Z117" s="89"/>
      <c r="AA117" s="89"/>
      <c r="AB117" s="89"/>
      <c r="AC117" s="89"/>
      <c r="AD117" s="89"/>
      <c r="AE117" s="89"/>
      <c r="AF117" s="89"/>
      <c r="AG117" s="90"/>
      <c r="AH117" s="90"/>
      <c r="AI117" s="90"/>
      <c r="AJ117" s="90"/>
      <c r="AK117" s="89"/>
      <c r="AL117" s="89"/>
      <c r="AM117" s="89"/>
      <c r="AN117" s="89"/>
      <c r="AO117" s="89"/>
      <c r="AP117" s="89"/>
      <c r="AQ117" s="89"/>
      <c r="AR117" s="89"/>
      <c r="AS117" s="89"/>
      <c r="AT117" s="89"/>
      <c r="AU117" s="89"/>
      <c r="AV117" s="89"/>
      <c r="AW117" s="89"/>
      <c r="AX117" s="89"/>
      <c r="AY117" s="87"/>
      <c r="AZ117" s="87"/>
      <c r="BA117" s="87"/>
      <c r="BB117" s="87"/>
      <c r="BC117" s="87"/>
      <c r="BD117" s="87"/>
      <c r="BE117" s="87"/>
      <c r="BF117" s="87"/>
      <c r="BG117" s="87"/>
      <c r="BH117" s="87"/>
      <c r="BI117" s="87"/>
      <c r="BJ117" s="87"/>
      <c r="BK117" s="87"/>
      <c r="BL117" s="87"/>
      <c r="BM117" s="87"/>
      <c r="BN117" s="87"/>
      <c r="BO117" s="87"/>
      <c r="BP117" s="87"/>
      <c r="BQ117" s="87"/>
      <c r="BR117" s="87"/>
      <c r="BS117" s="87"/>
      <c r="BT117" s="87"/>
      <c r="BU117" s="87"/>
      <c r="BV117" s="87"/>
      <c r="BW117" s="87"/>
      <c r="BX117" s="87"/>
      <c r="BY117" s="87"/>
      <c r="BZ117" s="87"/>
      <c r="CA117" s="87"/>
      <c r="CB117" s="87"/>
      <c r="CC117" s="87"/>
      <c r="CD117" s="87"/>
      <c r="CE117" s="87"/>
      <c r="CF117" s="87"/>
      <c r="CG117" s="87"/>
      <c r="CH117" s="87"/>
      <c r="CI117" s="87"/>
      <c r="CJ117" s="87"/>
      <c r="CK117" s="87"/>
      <c r="CL117" s="87"/>
      <c r="CM117" s="87"/>
      <c r="CN117" s="87"/>
      <c r="CO117" s="87"/>
      <c r="CP117" s="87"/>
      <c r="CQ117" s="87"/>
      <c r="CR117" s="87"/>
      <c r="CS117" s="87"/>
      <c r="CT117" s="87"/>
      <c r="CU117" s="87"/>
      <c r="CV117" s="87"/>
      <c r="CW117" s="87"/>
      <c r="CX117" s="87"/>
    </row>
    <row r="118" spans="1:102" x14ac:dyDescent="0.3">
      <c r="A118" s="28">
        <v>20</v>
      </c>
      <c r="C118" s="62">
        <f>IF(A118&lt;='Eingabeblatt 1'!$D$18,C117+1,"")</f>
        <v>2038</v>
      </c>
      <c r="D118" s="63">
        <f>IF(A118&lt;='Eingabeblatt 1'!$D$18,D117+1,"")</f>
        <v>20</v>
      </c>
      <c r="E118" s="64">
        <f>IF(A118&lt;='Eingabeblatt 1'!$D$18,IF(D118='Eingabeblatt 1'!$D$34,-'Eingabeblatt 1'!$L$34*(1+'Eingabeblatt 1'!$J$34)^D118,IF(D118='Eingabeblatt 1'!$D$35,-'Eingabeblatt 1'!$L$35*(1+'Eingabeblatt 1'!$J$35)^D118,IF(D118='Eingabeblatt 1'!$D$36,-'Eingabeblatt 1'!$L$36*(1+'Eingabeblatt 1'!$J$36)^D118,0))),"")</f>
        <v>-38324187.333338864</v>
      </c>
      <c r="F118" s="64">
        <f t="shared" si="10"/>
        <v>-1446318.02</v>
      </c>
      <c r="G118" s="65">
        <f>IF(A118&lt;='Eingabeblatt 1'!$D$18,IF(D118='Eingabeblatt 1'!$D$41,-('Eingabeblatt 1'!$L$40+'Eingabeblatt 1'!$L$41)*(1+'Eingabeblatt 1'!$J$40)^D118,-('Eingabeblatt 1'!$L$40)*(1+'Eingabeblatt 1'!$J$40)^D118),"")</f>
        <v>-520081.588592424</v>
      </c>
      <c r="H118" s="66">
        <f>IF(A118&lt;='Eingabeblatt 1'!$D$18,H117*(1+'Eingabeblatt 1'!$J$42),"")</f>
        <v>-534159.62859623507</v>
      </c>
      <c r="I118" s="66">
        <f>IF(A118&lt;='Eingabeblatt 1'!$D$18,(-'Eingabeblatt 1'!$L$45*(1+'Eingabeblatt 1'!$J$45)^Ergebnis!D118)-('Eingabeblatt 1'!$L$46*(1+'Eingabeblatt 1'!$J$46)^Ergebnis!D118)-('Eingabeblatt 1'!$L$47*(1+'Eingabeblatt 1'!$J$47)^Ergebnis!D118),"")</f>
        <v>-264082.83173451963</v>
      </c>
      <c r="J118" s="67">
        <f>IF(A117&lt;='Eingabeblatt 1'!$D$18,'Eingabeblatt 1'!$D$51*(1+'Eingabeblatt 1'!$J$51)^Ergebnis!D118,"")</f>
        <v>0</v>
      </c>
      <c r="K118" s="68">
        <f t="shared" si="12"/>
        <v>0</v>
      </c>
      <c r="L118" s="68">
        <f>IF(D118&lt;='Eingabeblatt 1'!$D$18,(SUMIFS('Eingabeblatt 2'!$K$14:$K$53,'Eingabeblatt 2'!$E$14:$E$53,Ergebnis!D118)+SUMIFS('Eingabeblatt 2'!$K$14:$K$53,'Eingabeblatt 2'!$E$14:$E$53,Ergebnis!D108))*(1+'Eingabeblatt 1'!$J$34)^Ergebnis!D118,"")</f>
        <v>157932.13584468421</v>
      </c>
      <c r="M118" s="373">
        <f>IF(A118&lt;='Eingabeblatt 1'!$D$18,SUM(G118:L118)+E118,"")</f>
        <v>-39484579.246417359</v>
      </c>
      <c r="N118" s="83">
        <f>IF(A118&lt;='Eingabeblatt 1'!$D$18,(E118+G118+I118+H118+J118+K118+L118)/(1+'Eingabeblatt 1'!$D$19)^D118,"")</f>
        <v>-18020246.544315334</v>
      </c>
      <c r="O118" s="419">
        <f>IF(A118&lt;='Eingabeblatt 1'!$D$18,O117+N118,"")</f>
        <v>-71115077.474777877</v>
      </c>
      <c r="P118" s="89"/>
      <c r="Q118" s="89"/>
      <c r="R118" s="93">
        <f>(((40-D118)/40*$Q$98))*('Eingabeblatt 1'!$D$20)+$Q$98/40</f>
        <v>100695</v>
      </c>
      <c r="S118" s="93"/>
      <c r="T118" s="93">
        <f>(((30-D118)/30*$S$98))*('Eingabeblatt 1'!$D$20)+$S$98/30</f>
        <v>0</v>
      </c>
      <c r="U118" s="93">
        <f>(SUMIFS('Eingabeblatt 2'!I14:I37,'Eingabeblatt 2'!E14:E37,20))*(1+'Eingabeblatt 1'!J80)^Ergebnis!D118</f>
        <v>9293620</v>
      </c>
      <c r="V118" s="93">
        <f>(((20-D99)/20*$U$118))*('Eingabeblatt 1'!$D$20)+$U$118/20</f>
        <v>641259.78</v>
      </c>
      <c r="W118" s="93">
        <f>(SUMIFS('Eingabeblatt 2'!I14:I37,'Eingabeblatt 2'!E14:E37,10))*(1+'Eingabeblatt 1'!J80)^Ergebnis!D118</f>
        <v>5969180</v>
      </c>
      <c r="X118" s="93">
        <f>(((10-D99)/10*$W$118))*('Eingabeblatt 1'!$D$20)+$W$118/10</f>
        <v>704363.24</v>
      </c>
      <c r="Y118" s="97">
        <f t="shared" si="11"/>
        <v>1446318.02</v>
      </c>
      <c r="Z118" s="89"/>
      <c r="AA118" s="89"/>
      <c r="AB118" s="89"/>
      <c r="AC118" s="89"/>
      <c r="AD118" s="89"/>
      <c r="AE118" s="89"/>
      <c r="AF118" s="89"/>
      <c r="AG118" s="90"/>
      <c r="AH118" s="90"/>
      <c r="AI118" s="90"/>
      <c r="AJ118" s="90"/>
      <c r="AK118" s="89"/>
      <c r="AL118" s="89"/>
      <c r="AM118" s="89"/>
      <c r="AN118" s="89"/>
      <c r="AO118" s="89"/>
      <c r="AP118" s="89"/>
      <c r="AQ118" s="89"/>
      <c r="AR118" s="89"/>
      <c r="AS118" s="89"/>
      <c r="AT118" s="89"/>
      <c r="AU118" s="89"/>
      <c r="AV118" s="89"/>
      <c r="AW118" s="89"/>
      <c r="AX118" s="89"/>
      <c r="AY118" s="87"/>
      <c r="AZ118" s="87"/>
      <c r="BA118" s="87"/>
      <c r="BB118" s="87"/>
      <c r="BC118" s="87"/>
      <c r="BD118" s="87"/>
      <c r="BE118" s="87"/>
      <c r="BF118" s="87"/>
      <c r="BG118" s="87"/>
      <c r="BH118" s="87"/>
      <c r="BI118" s="87"/>
      <c r="BJ118" s="87"/>
      <c r="BK118" s="87"/>
      <c r="BL118" s="87"/>
      <c r="BM118" s="87"/>
      <c r="BN118" s="87"/>
      <c r="BO118" s="87"/>
      <c r="BP118" s="87"/>
      <c r="BQ118" s="87"/>
      <c r="BR118" s="87"/>
      <c r="BS118" s="87"/>
      <c r="BT118" s="87"/>
      <c r="BU118" s="87"/>
      <c r="BV118" s="87"/>
      <c r="BW118" s="87"/>
      <c r="BX118" s="87"/>
      <c r="BY118" s="87"/>
      <c r="BZ118" s="87"/>
      <c r="CA118" s="87"/>
      <c r="CB118" s="87"/>
      <c r="CC118" s="87"/>
      <c r="CD118" s="87"/>
      <c r="CE118" s="87"/>
      <c r="CF118" s="87"/>
      <c r="CG118" s="87"/>
      <c r="CH118" s="87"/>
      <c r="CI118" s="87"/>
      <c r="CJ118" s="87"/>
      <c r="CK118" s="87"/>
      <c r="CL118" s="87"/>
      <c r="CM118" s="87"/>
      <c r="CN118" s="87"/>
      <c r="CO118" s="87"/>
      <c r="CP118" s="87"/>
      <c r="CQ118" s="87"/>
      <c r="CR118" s="87"/>
      <c r="CS118" s="87"/>
      <c r="CT118" s="87"/>
      <c r="CU118" s="87"/>
      <c r="CV118" s="87"/>
      <c r="CW118" s="87"/>
      <c r="CX118" s="87"/>
    </row>
    <row r="119" spans="1:102" x14ac:dyDescent="0.3">
      <c r="A119" s="28">
        <v>21</v>
      </c>
      <c r="C119" s="62">
        <f>IF(A119&lt;='Eingabeblatt 1'!$D$18,C118+1,"")</f>
        <v>2039</v>
      </c>
      <c r="D119" s="63">
        <f>IF(A119&lt;='Eingabeblatt 1'!$D$18,D118+1,"")</f>
        <v>21</v>
      </c>
      <c r="E119" s="64">
        <f>IF(A119&lt;='Eingabeblatt 1'!$D$18,IF(D119='Eingabeblatt 1'!$D$34,-'Eingabeblatt 1'!$L$34*(1+'Eingabeblatt 1'!$J$34)^D119,IF(D119='Eingabeblatt 1'!$D$35,-'Eingabeblatt 1'!$L$35*(1+'Eingabeblatt 1'!$J$35)^D119,IF(D119='Eingabeblatt 1'!$D$36,-'Eingabeblatt 1'!$L$36*(1+'Eingabeblatt 1'!$J$36)^D119,0))),"")</f>
        <v>0</v>
      </c>
      <c r="F119" s="64">
        <f t="shared" si="10"/>
        <v>-1423647.54</v>
      </c>
      <c r="G119" s="65">
        <f>IF(A119&lt;='Eingabeblatt 1'!$D$18,IF(D119='Eingabeblatt 1'!$D$41,-('Eingabeblatt 1'!$L$40+'Eingabeblatt 1'!$L$41)*(1+'Eingabeblatt 1'!$J$40)^D119,-('Eingabeblatt 1'!$L$40)*(1+'Eingabeblatt 1'!$J$40)^D119),"")</f>
        <v>-530483.22036427248</v>
      </c>
      <c r="H119" s="66">
        <f>IF(A119&lt;='Eingabeblatt 1'!$D$18,H118*(1+'Eingabeblatt 1'!$J$42),"")</f>
        <v>-546178.22023965034</v>
      </c>
      <c r="I119" s="66">
        <f>IF(A119&lt;='Eingabeblatt 1'!$D$18,(-'Eingabeblatt 1'!$L$45*(1+'Eingabeblatt 1'!$J$45)^Ergebnis!D119)-('Eingabeblatt 1'!$L$46*(1+'Eingabeblatt 1'!$J$46)^Ergebnis!D119)-('Eingabeblatt 1'!$L$47*(1+'Eingabeblatt 1'!$J$47)^Ergebnis!D119),"")</f>
        <v>-265998.29389565054</v>
      </c>
      <c r="J119" s="67">
        <f>IF(A118&lt;='Eingabeblatt 1'!$D$18,'Eingabeblatt 1'!$D$51*(1+'Eingabeblatt 1'!$J$51)^Ergebnis!D119,"")</f>
        <v>0</v>
      </c>
      <c r="K119" s="68">
        <f t="shared" si="12"/>
        <v>0</v>
      </c>
      <c r="L119" s="68">
        <f>IF(D119&lt;='Eingabeblatt 1'!$D$18,(SUMIFS('Eingabeblatt 2'!$K$14:$K$53,'Eingabeblatt 2'!$E$14:$E$53,Ergebnis!D119))*(1+'Eingabeblatt 1'!$J$34)^Ergebnis!D119,"")</f>
        <v>0</v>
      </c>
      <c r="M119" s="373">
        <f>IF(A119&lt;='Eingabeblatt 1'!$D$18,SUM(G119:L119)+E119,"")</f>
        <v>-1342659.7344995732</v>
      </c>
      <c r="N119" s="83">
        <f>IF(A119&lt;='Eingabeblatt 1'!$D$18,(E119+G119+I119+H119+J119+K119+L119)/(1+'Eingabeblatt 1'!$D$19)^D119,"")</f>
        <v>-589204.2077074016</v>
      </c>
      <c r="O119" s="419">
        <f>IF(A119&lt;='Eingabeblatt 1'!$D$18,O118+N119,"")</f>
        <v>-71704281.682485282</v>
      </c>
      <c r="P119" s="89"/>
      <c r="Q119" s="89"/>
      <c r="R119" s="93">
        <f>(((40-D119)/40*$Q$98))*('Eingabeblatt 1'!$D$20)+$Q$98/40</f>
        <v>99256.5</v>
      </c>
      <c r="S119" s="93"/>
      <c r="T119" s="93">
        <f>(((30-D119)/30*$S$98))*('Eingabeblatt 1'!$D$20)+$S$98/30</f>
        <v>0</v>
      </c>
      <c r="U119" s="89"/>
      <c r="V119" s="93">
        <f>(((20-D100)/20*$U$118))*('Eingabeblatt 1'!$D$20)+$U$118/20</f>
        <v>631966.16</v>
      </c>
      <c r="W119" s="93"/>
      <c r="X119" s="93">
        <f>(((10-D100)/10*$W$118))*('Eingabeblatt 1'!$D$20)+$W$118/10</f>
        <v>692424.88</v>
      </c>
      <c r="Y119" s="97">
        <f t="shared" si="11"/>
        <v>1423647.54</v>
      </c>
      <c r="Z119" s="89"/>
      <c r="AA119" s="89"/>
      <c r="AB119" s="89"/>
      <c r="AC119" s="89"/>
      <c r="AD119" s="89"/>
      <c r="AE119" s="89"/>
      <c r="AF119" s="89"/>
      <c r="AG119" s="90"/>
      <c r="AH119" s="90"/>
      <c r="AI119" s="90"/>
      <c r="AJ119" s="90"/>
      <c r="AK119" s="89"/>
      <c r="AL119" s="89"/>
      <c r="AM119" s="89"/>
      <c r="AN119" s="89"/>
      <c r="AO119" s="89"/>
      <c r="AP119" s="89"/>
      <c r="AQ119" s="89"/>
      <c r="AR119" s="89"/>
      <c r="AS119" s="89"/>
      <c r="AT119" s="89"/>
      <c r="AU119" s="89"/>
      <c r="AV119" s="89"/>
      <c r="AW119" s="89"/>
      <c r="AX119" s="89"/>
      <c r="AY119" s="87"/>
      <c r="AZ119" s="87"/>
      <c r="BA119" s="87"/>
      <c r="BB119" s="87"/>
      <c r="BC119" s="87"/>
      <c r="BD119" s="87"/>
      <c r="BE119" s="87"/>
      <c r="BF119" s="87"/>
      <c r="BG119" s="87"/>
      <c r="BH119" s="87"/>
      <c r="BI119" s="87"/>
      <c r="BJ119" s="87"/>
      <c r="BK119" s="87"/>
      <c r="BL119" s="87"/>
      <c r="BM119" s="87"/>
      <c r="BN119" s="87"/>
      <c r="BO119" s="87"/>
      <c r="BP119" s="87"/>
      <c r="BQ119" s="87"/>
      <c r="BR119" s="87"/>
      <c r="BS119" s="87"/>
      <c r="BT119" s="87"/>
      <c r="BU119" s="87"/>
      <c r="BV119" s="87"/>
      <c r="BW119" s="87"/>
      <c r="BX119" s="87"/>
      <c r="BY119" s="87"/>
      <c r="BZ119" s="87"/>
      <c r="CA119" s="87"/>
      <c r="CB119" s="87"/>
      <c r="CC119" s="87"/>
      <c r="CD119" s="87"/>
      <c r="CE119" s="87"/>
      <c r="CF119" s="87"/>
      <c r="CG119" s="87"/>
      <c r="CH119" s="87"/>
      <c r="CI119" s="87"/>
      <c r="CJ119" s="87"/>
      <c r="CK119" s="87"/>
      <c r="CL119" s="87"/>
      <c r="CM119" s="87"/>
      <c r="CN119" s="87"/>
      <c r="CO119" s="87"/>
      <c r="CP119" s="87"/>
      <c r="CQ119" s="87"/>
      <c r="CR119" s="87"/>
      <c r="CS119" s="87"/>
      <c r="CT119" s="87"/>
      <c r="CU119" s="87"/>
      <c r="CV119" s="87"/>
      <c r="CW119" s="87"/>
      <c r="CX119" s="87"/>
    </row>
    <row r="120" spans="1:102" x14ac:dyDescent="0.3">
      <c r="A120" s="28">
        <v>22</v>
      </c>
      <c r="C120" s="62">
        <f>IF(A120&lt;='Eingabeblatt 1'!$D$18,C119+1,"")</f>
        <v>2040</v>
      </c>
      <c r="D120" s="63">
        <f>IF(A120&lt;='Eingabeblatt 1'!$D$18,D119+1,"")</f>
        <v>22</v>
      </c>
      <c r="E120" s="64">
        <f>IF(A120&lt;='Eingabeblatt 1'!$D$18,IF(D120='Eingabeblatt 1'!$D$34,-'Eingabeblatt 1'!$L$34*(1+'Eingabeblatt 1'!$J$34)^D120,IF(D120='Eingabeblatt 1'!$D$35,-'Eingabeblatt 1'!$L$35*(1+'Eingabeblatt 1'!$J$35)^D120,IF(D120='Eingabeblatt 1'!$D$36,-'Eingabeblatt 1'!$L$36*(1+'Eingabeblatt 1'!$J$36)^D120,0))),"")</f>
        <v>0</v>
      </c>
      <c r="F120" s="64">
        <f t="shared" si="10"/>
        <v>-1400977.06</v>
      </c>
      <c r="G120" s="65">
        <f>IF(A120&lt;='Eingabeblatt 1'!$D$18,IF(D120='Eingabeblatt 1'!$D$41,-('Eingabeblatt 1'!$L$40+'Eingabeblatt 1'!$L$41)*(1+'Eingabeblatt 1'!$J$40)^D120,-('Eingabeblatt 1'!$L$40)*(1+'Eingabeblatt 1'!$J$40)^D120),"")</f>
        <v>-541092.88477155787</v>
      </c>
      <c r="H120" s="66">
        <f>IF(A120&lt;='Eingabeblatt 1'!$D$18,H119*(1+'Eingabeblatt 1'!$J$42),"")</f>
        <v>-558467.23019504244</v>
      </c>
      <c r="I120" s="66">
        <f>IF(A120&lt;='Eingabeblatt 1'!$D$18,(-'Eingabeblatt 1'!$L$45*(1+'Eingabeblatt 1'!$J$45)^Ergebnis!D120)-('Eingabeblatt 1'!$L$46*(1+'Eingabeblatt 1'!$J$46)^Ergebnis!D120)-('Eingabeblatt 1'!$L$47*(1+'Eingabeblatt 1'!$J$47)^Ergebnis!D120),"")</f>
        <v>-267929.28384761175</v>
      </c>
      <c r="J120" s="67">
        <f>IF(A119&lt;='Eingabeblatt 1'!$D$18,'Eingabeblatt 1'!$D$51*(1+'Eingabeblatt 1'!$J$51)^Ergebnis!D120,"")</f>
        <v>0</v>
      </c>
      <c r="K120" s="68">
        <f t="shared" si="12"/>
        <v>0</v>
      </c>
      <c r="L120" s="68">
        <f>IF(D120&lt;='Eingabeblatt 1'!$D$18,(SUMIFS('Eingabeblatt 2'!$K$14:$K$53,'Eingabeblatt 2'!$E$14:$E$53,Ergebnis!D120))*(1+'Eingabeblatt 1'!$J$34)^Ergebnis!D120,"")</f>
        <v>0</v>
      </c>
      <c r="M120" s="373">
        <f>IF(A120&lt;='Eingabeblatt 1'!$D$18,SUM(G120:L120)+E120,"")</f>
        <v>-1367489.3988142121</v>
      </c>
      <c r="N120" s="83">
        <f>IF(A120&lt;='Eingabeblatt 1'!$D$18,(E120+G120+I120+H120+J120+K120+L120)/(1+'Eingabeblatt 1'!$D$19)^D120,"")</f>
        <v>-577019.51801725116</v>
      </c>
      <c r="O120" s="419">
        <f>IF(A120&lt;='Eingabeblatt 1'!$D$18,O119+N120,"")</f>
        <v>-72281301.20050253</v>
      </c>
      <c r="P120" s="89"/>
      <c r="Q120" s="89"/>
      <c r="R120" s="93">
        <f>(((40-D120)/40*$Q$98))*('Eingabeblatt 1'!$D$20)+$Q$98/40</f>
        <v>97818</v>
      </c>
      <c r="S120" s="93"/>
      <c r="T120" s="93">
        <f>(((30-D120)/30*$S$98))*('Eingabeblatt 1'!$D$20)+$S$98/30</f>
        <v>0</v>
      </c>
      <c r="U120" s="93"/>
      <c r="V120" s="93">
        <f>(((20-D101)/20*$U$118))*('Eingabeblatt 1'!$D$20)+$U$118/20</f>
        <v>622672.54</v>
      </c>
      <c r="W120" s="93"/>
      <c r="X120" s="93">
        <f>(((10-D101)/10*$W$118))*('Eingabeblatt 1'!$D$20)+$W$118/10</f>
        <v>680486.52</v>
      </c>
      <c r="Y120" s="97">
        <f t="shared" si="11"/>
        <v>1400977.06</v>
      </c>
      <c r="Z120" s="89"/>
      <c r="AA120" s="89"/>
      <c r="AB120" s="89"/>
      <c r="AC120" s="89"/>
      <c r="AD120" s="89"/>
      <c r="AE120" s="89"/>
      <c r="AF120" s="89"/>
      <c r="AG120" s="90"/>
      <c r="AH120" s="90"/>
      <c r="AI120" s="90"/>
      <c r="AJ120" s="90"/>
      <c r="AK120" s="89"/>
      <c r="AL120" s="89"/>
      <c r="AM120" s="89"/>
      <c r="AN120" s="89"/>
      <c r="AO120" s="89"/>
      <c r="AP120" s="89"/>
      <c r="AQ120" s="89"/>
      <c r="AR120" s="89"/>
      <c r="AS120" s="89"/>
      <c r="AT120" s="89"/>
      <c r="AU120" s="89"/>
      <c r="AV120" s="89"/>
      <c r="AW120" s="89"/>
      <c r="AX120" s="89"/>
      <c r="AY120" s="87"/>
      <c r="AZ120" s="87"/>
      <c r="BA120" s="87"/>
      <c r="BB120" s="87"/>
      <c r="BC120" s="87"/>
      <c r="BD120" s="87"/>
      <c r="BE120" s="87"/>
      <c r="BF120" s="87"/>
      <c r="BG120" s="87"/>
      <c r="BH120" s="87"/>
      <c r="BI120" s="87"/>
      <c r="BJ120" s="87"/>
      <c r="BK120" s="87"/>
      <c r="BL120" s="87"/>
      <c r="BM120" s="87"/>
      <c r="BN120" s="87"/>
      <c r="BO120" s="87"/>
      <c r="BP120" s="87"/>
      <c r="BQ120" s="87"/>
      <c r="BR120" s="87"/>
      <c r="BS120" s="87"/>
      <c r="BT120" s="87"/>
      <c r="BU120" s="87"/>
      <c r="BV120" s="87"/>
      <c r="BW120" s="87"/>
      <c r="BX120" s="87"/>
      <c r="BY120" s="87"/>
      <c r="BZ120" s="87"/>
      <c r="CA120" s="87"/>
      <c r="CB120" s="87"/>
      <c r="CC120" s="87"/>
      <c r="CD120" s="87"/>
      <c r="CE120" s="87"/>
      <c r="CF120" s="87"/>
      <c r="CG120" s="87"/>
      <c r="CH120" s="87"/>
      <c r="CI120" s="87"/>
      <c r="CJ120" s="87"/>
      <c r="CK120" s="87"/>
      <c r="CL120" s="87"/>
      <c r="CM120" s="87"/>
      <c r="CN120" s="87"/>
      <c r="CO120" s="87"/>
      <c r="CP120" s="87"/>
      <c r="CQ120" s="87"/>
      <c r="CR120" s="87"/>
      <c r="CS120" s="87"/>
      <c r="CT120" s="87"/>
      <c r="CU120" s="87"/>
      <c r="CV120" s="87"/>
      <c r="CW120" s="87"/>
      <c r="CX120" s="87"/>
    </row>
    <row r="121" spans="1:102" x14ac:dyDescent="0.3">
      <c r="A121" s="28">
        <v>23</v>
      </c>
      <c r="C121" s="62">
        <f>IF(A121&lt;='Eingabeblatt 1'!$D$18,C120+1,"")</f>
        <v>2041</v>
      </c>
      <c r="D121" s="63">
        <f>IF(A121&lt;='Eingabeblatt 1'!$D$18,D120+1,"")</f>
        <v>23</v>
      </c>
      <c r="E121" s="64">
        <f>IF(A121&lt;='Eingabeblatt 1'!$D$18,IF(D121='Eingabeblatt 1'!$D$34,-'Eingabeblatt 1'!$L$34*(1+'Eingabeblatt 1'!$J$34)^D121,IF(D121='Eingabeblatt 1'!$D$35,-'Eingabeblatt 1'!$L$35*(1+'Eingabeblatt 1'!$J$35)^D121,IF(D121='Eingabeblatt 1'!$D$36,-'Eingabeblatt 1'!$L$36*(1+'Eingabeblatt 1'!$J$36)^D121,0))),"")</f>
        <v>0</v>
      </c>
      <c r="F121" s="64">
        <f t="shared" si="10"/>
        <v>-1378306.58</v>
      </c>
      <c r="G121" s="65">
        <f>IF(A121&lt;='Eingabeblatt 1'!$D$18,IF(D121='Eingabeblatt 1'!$D$41,-('Eingabeblatt 1'!$L$40+'Eingabeblatt 1'!$L$41)*(1+'Eingabeblatt 1'!$J$40)^D121,-('Eingabeblatt 1'!$L$40)*(1+'Eingabeblatt 1'!$J$40)^D121),"")</f>
        <v>-551914.74246698897</v>
      </c>
      <c r="H121" s="66">
        <f>IF(A121&lt;='Eingabeblatt 1'!$D$18,H120*(1+'Eingabeblatt 1'!$J$42),"")</f>
        <v>-571032.74287443084</v>
      </c>
      <c r="I121" s="66">
        <f>IF(A121&lt;='Eingabeblatt 1'!$D$18,(-'Eingabeblatt 1'!$L$45*(1+'Eingabeblatt 1'!$J$45)^Ergebnis!D121)-('Eingabeblatt 1'!$L$46*(1+'Eingabeblatt 1'!$J$46)^Ergebnis!D121)-('Eingabeblatt 1'!$L$47*(1+'Eingabeblatt 1'!$J$47)^Ergebnis!D121),"")</f>
        <v>-269875.93873415748</v>
      </c>
      <c r="J121" s="67">
        <f>IF(A120&lt;='Eingabeblatt 1'!$D$18,'Eingabeblatt 1'!$D$51*(1+'Eingabeblatt 1'!$J$51)^Ergebnis!D121,"")</f>
        <v>0</v>
      </c>
      <c r="K121" s="68">
        <f t="shared" si="12"/>
        <v>0</v>
      </c>
      <c r="L121" s="68">
        <f>IF(D121&lt;='Eingabeblatt 1'!$D$18,(SUMIFS('Eingabeblatt 2'!$K$14:$K$53,'Eingabeblatt 2'!$E$14:$E$53,Ergebnis!D121))*(1+'Eingabeblatt 1'!$J$34)^Ergebnis!D121,"")</f>
        <v>0</v>
      </c>
      <c r="M121" s="373">
        <f>IF(A121&lt;='Eingabeblatt 1'!$D$18,SUM(G121:L121)+E121,"")</f>
        <v>-1392823.4240755774</v>
      </c>
      <c r="N121" s="83">
        <f>IF(A121&lt;='Eingabeblatt 1'!$D$18,(E121+G121+I121+H121+J121+K121+L121)/(1+'Eingabeblatt 1'!$D$19)^D121,"")</f>
        <v>-565105.1408094489</v>
      </c>
      <c r="O121" s="419">
        <f>IF(A121&lt;='Eingabeblatt 1'!$D$18,O120+N121,"")</f>
        <v>-72846406.341311976</v>
      </c>
      <c r="P121" s="89"/>
      <c r="Q121" s="89"/>
      <c r="R121" s="93">
        <f>(((40-D121)/40*$Q$98))*('Eingabeblatt 1'!$D$20)+$Q$98/40</f>
        <v>96379.5</v>
      </c>
      <c r="S121" s="93"/>
      <c r="T121" s="93">
        <f>(((30-D121)/30*$S$98))*('Eingabeblatt 1'!$D$20)+$S$98/30</f>
        <v>0</v>
      </c>
      <c r="U121" s="93"/>
      <c r="V121" s="93">
        <f>(((20-D102)/20*$U$118))*('Eingabeblatt 1'!$D$20)+$U$118/20</f>
        <v>613378.92000000004</v>
      </c>
      <c r="W121" s="93"/>
      <c r="X121" s="93">
        <f>(((10-D102)/10*$W$118))*('Eingabeblatt 1'!$D$20)+$W$118/10</f>
        <v>668548.16</v>
      </c>
      <c r="Y121" s="97">
        <f t="shared" si="11"/>
        <v>1378306.58</v>
      </c>
      <c r="Z121" s="89"/>
      <c r="AA121" s="89"/>
      <c r="AB121" s="89"/>
      <c r="AC121" s="89"/>
      <c r="AD121" s="89"/>
      <c r="AE121" s="89"/>
      <c r="AF121" s="89"/>
      <c r="AG121" s="90"/>
      <c r="AH121" s="90"/>
      <c r="AI121" s="90"/>
      <c r="AJ121" s="90"/>
      <c r="AK121" s="89"/>
      <c r="AL121" s="89"/>
      <c r="AM121" s="89"/>
      <c r="AN121" s="89"/>
      <c r="AO121" s="89"/>
      <c r="AP121" s="89"/>
      <c r="AQ121" s="89"/>
      <c r="AR121" s="89"/>
      <c r="AS121" s="89"/>
      <c r="AT121" s="89"/>
      <c r="AU121" s="89"/>
      <c r="AV121" s="89"/>
      <c r="AW121" s="89"/>
      <c r="AX121" s="89"/>
      <c r="AY121" s="87"/>
      <c r="AZ121" s="87"/>
      <c r="BA121" s="87"/>
      <c r="BB121" s="87"/>
      <c r="BC121" s="87"/>
      <c r="BD121" s="87"/>
      <c r="BE121" s="87"/>
      <c r="BF121" s="87"/>
      <c r="BG121" s="87"/>
      <c r="BH121" s="87"/>
      <c r="BI121" s="87"/>
      <c r="BJ121" s="87"/>
      <c r="BK121" s="87"/>
      <c r="BL121" s="87"/>
      <c r="BM121" s="87"/>
      <c r="BN121" s="87"/>
      <c r="BO121" s="87"/>
      <c r="BP121" s="87"/>
      <c r="BQ121" s="87"/>
      <c r="BR121" s="87"/>
      <c r="BS121" s="87"/>
      <c r="BT121" s="87"/>
      <c r="BU121" s="87"/>
      <c r="BV121" s="87"/>
      <c r="BW121" s="87"/>
      <c r="BX121" s="87"/>
      <c r="BY121" s="87"/>
      <c r="BZ121" s="87"/>
      <c r="CA121" s="87"/>
      <c r="CB121" s="87"/>
      <c r="CC121" s="87"/>
      <c r="CD121" s="87"/>
      <c r="CE121" s="87"/>
      <c r="CF121" s="87"/>
      <c r="CG121" s="87"/>
      <c r="CH121" s="87"/>
      <c r="CI121" s="87"/>
      <c r="CJ121" s="87"/>
      <c r="CK121" s="87"/>
      <c r="CL121" s="87"/>
      <c r="CM121" s="87"/>
      <c r="CN121" s="87"/>
      <c r="CO121" s="87"/>
      <c r="CP121" s="87"/>
      <c r="CQ121" s="87"/>
      <c r="CR121" s="87"/>
      <c r="CS121" s="87"/>
      <c r="CT121" s="87"/>
      <c r="CU121" s="87"/>
      <c r="CV121" s="87"/>
      <c r="CW121" s="87"/>
      <c r="CX121" s="87"/>
    </row>
    <row r="122" spans="1:102" x14ac:dyDescent="0.3">
      <c r="A122" s="28">
        <v>24</v>
      </c>
      <c r="C122" s="62">
        <f>IF(A122&lt;='Eingabeblatt 1'!$D$18,C121+1,"")</f>
        <v>2042</v>
      </c>
      <c r="D122" s="63">
        <f>IF(A122&lt;='Eingabeblatt 1'!$D$18,D121+1,"")</f>
        <v>24</v>
      </c>
      <c r="E122" s="64">
        <f>IF(A122&lt;='Eingabeblatt 1'!$D$18,IF(D122='Eingabeblatt 1'!$D$34,-'Eingabeblatt 1'!$L$34*(1+'Eingabeblatt 1'!$J$34)^D122,IF(D122='Eingabeblatt 1'!$D$35,-'Eingabeblatt 1'!$L$35*(1+'Eingabeblatt 1'!$J$35)^D122,IF(D122='Eingabeblatt 1'!$D$36,-'Eingabeblatt 1'!$L$36*(1+'Eingabeblatt 1'!$J$36)^D122,0))),"")</f>
        <v>0</v>
      </c>
      <c r="F122" s="64">
        <f t="shared" si="10"/>
        <v>-1355636.1</v>
      </c>
      <c r="G122" s="65">
        <f>IF(A122&lt;='Eingabeblatt 1'!$D$18,IF(D122='Eingabeblatt 1'!$D$41,-('Eingabeblatt 1'!$L$40+'Eingabeblatt 1'!$L$41)*(1+'Eingabeblatt 1'!$J$40)^D122,-('Eingabeblatt 1'!$L$40)*(1+'Eingabeblatt 1'!$J$40)^D122),"")</f>
        <v>-562953.03731632873</v>
      </c>
      <c r="H122" s="66">
        <f>IF(A122&lt;='Eingabeblatt 1'!$D$18,H121*(1+'Eingabeblatt 1'!$J$42),"")</f>
        <v>-583880.97958910547</v>
      </c>
      <c r="I122" s="66">
        <f>IF(A122&lt;='Eingabeblatt 1'!$D$18,(-'Eingabeblatt 1'!$L$45*(1+'Eingabeblatt 1'!$J$45)^Ergebnis!D122)-('Eingabeblatt 1'!$L$46*(1+'Eingabeblatt 1'!$J$46)^Ergebnis!D122)-('Eingabeblatt 1'!$L$47*(1+'Eingabeblatt 1'!$J$47)^Ergebnis!D122),"")</f>
        <v>-271838.39697980916</v>
      </c>
      <c r="J122" s="67">
        <f>IF(A121&lt;='Eingabeblatt 1'!$D$18,'Eingabeblatt 1'!$D$51*(1+'Eingabeblatt 1'!$J$51)^Ergebnis!D122,"")</f>
        <v>0</v>
      </c>
      <c r="K122" s="68">
        <f t="shared" si="12"/>
        <v>0</v>
      </c>
      <c r="L122" s="68">
        <f>IF(D122&lt;='Eingabeblatt 1'!$D$18,(SUMIFS('Eingabeblatt 2'!$K$14:$K$53,'Eingabeblatt 2'!$E$14:$E$53,Ergebnis!D122))*(1+'Eingabeblatt 1'!$J$34)^Ergebnis!D122,"")</f>
        <v>0</v>
      </c>
      <c r="M122" s="373">
        <f>IF(A122&lt;='Eingabeblatt 1'!$D$18,SUM(G122:L122)+E122,"")</f>
        <v>-1418672.4138852432</v>
      </c>
      <c r="N122" s="83">
        <f>IF(A122&lt;='Eingabeblatt 1'!$D$18,(E122+G122+I122+H122+J122+K122+L122)/(1+'Eingabeblatt 1'!$D$19)^D122,"")</f>
        <v>-553454.57371624606</v>
      </c>
      <c r="O122" s="419">
        <f>IF(A122&lt;='Eingabeblatt 1'!$D$18,O121+N122,"")</f>
        <v>-73399860.915028229</v>
      </c>
      <c r="P122" s="89"/>
      <c r="Q122" s="89"/>
      <c r="R122" s="93">
        <f>(((40-D122)/40*$Q$98))*('Eingabeblatt 1'!$D$20)+$Q$98/40</f>
        <v>94941</v>
      </c>
      <c r="S122" s="93"/>
      <c r="T122" s="93">
        <f>(((30-D122)/30*$S$98))*('Eingabeblatt 1'!$D$20)+$S$98/30</f>
        <v>0</v>
      </c>
      <c r="U122" s="93"/>
      <c r="V122" s="93">
        <f>(((20-D103)/20*$U$118))*('Eingabeblatt 1'!$D$20)+$U$118/20</f>
        <v>604085.30000000005</v>
      </c>
      <c r="W122" s="93"/>
      <c r="X122" s="93">
        <f>(((10-D103)/10*$W$118))*('Eingabeblatt 1'!$D$20)+$W$118/10</f>
        <v>656609.80000000005</v>
      </c>
      <c r="Y122" s="97">
        <f t="shared" si="11"/>
        <v>1355636.1</v>
      </c>
      <c r="Z122" s="89"/>
      <c r="AA122" s="89"/>
      <c r="AB122" s="89"/>
      <c r="AC122" s="89"/>
      <c r="AD122" s="89"/>
      <c r="AE122" s="89"/>
      <c r="AF122" s="89"/>
      <c r="AG122" s="90"/>
      <c r="AH122" s="90"/>
      <c r="AI122" s="90"/>
      <c r="AJ122" s="90"/>
      <c r="AK122" s="89"/>
      <c r="AL122" s="89"/>
      <c r="AM122" s="89"/>
      <c r="AN122" s="89"/>
      <c r="AO122" s="89"/>
      <c r="AP122" s="89"/>
      <c r="AQ122" s="89"/>
      <c r="AR122" s="89"/>
      <c r="AS122" s="89"/>
      <c r="AT122" s="89"/>
      <c r="AU122" s="89"/>
      <c r="AV122" s="89"/>
      <c r="AW122" s="89"/>
      <c r="AX122" s="89"/>
      <c r="AY122" s="87"/>
      <c r="AZ122" s="87"/>
      <c r="BA122" s="87"/>
      <c r="BB122" s="87"/>
      <c r="BC122" s="87"/>
      <c r="BD122" s="87"/>
      <c r="BE122" s="87"/>
      <c r="BF122" s="87"/>
      <c r="BG122" s="87"/>
      <c r="BH122" s="87"/>
      <c r="BI122" s="87"/>
      <c r="BJ122" s="87"/>
      <c r="BK122" s="87"/>
      <c r="BL122" s="87"/>
      <c r="BM122" s="87"/>
      <c r="BN122" s="87"/>
      <c r="BO122" s="87"/>
      <c r="BP122" s="87"/>
      <c r="BQ122" s="87"/>
      <c r="BR122" s="87"/>
      <c r="BS122" s="87"/>
      <c r="BT122" s="87"/>
      <c r="BU122" s="87"/>
      <c r="BV122" s="87"/>
      <c r="BW122" s="87"/>
      <c r="BX122" s="87"/>
      <c r="BY122" s="87"/>
      <c r="BZ122" s="87"/>
      <c r="CA122" s="87"/>
      <c r="CB122" s="87"/>
      <c r="CC122" s="87"/>
      <c r="CD122" s="87"/>
      <c r="CE122" s="87"/>
      <c r="CF122" s="87"/>
      <c r="CG122" s="87"/>
      <c r="CH122" s="87"/>
      <c r="CI122" s="87"/>
      <c r="CJ122" s="87"/>
      <c r="CK122" s="87"/>
      <c r="CL122" s="87"/>
      <c r="CM122" s="87"/>
      <c r="CN122" s="87"/>
      <c r="CO122" s="87"/>
      <c r="CP122" s="87"/>
      <c r="CQ122" s="87"/>
      <c r="CR122" s="87"/>
      <c r="CS122" s="87"/>
      <c r="CT122" s="87"/>
      <c r="CU122" s="87"/>
      <c r="CV122" s="87"/>
      <c r="CW122" s="87"/>
      <c r="CX122" s="87"/>
    </row>
    <row r="123" spans="1:102" x14ac:dyDescent="0.3">
      <c r="A123" s="28">
        <v>25</v>
      </c>
      <c r="C123" s="62">
        <f>IF(A123&lt;='Eingabeblatt 1'!$D$18,C122+1,"")</f>
        <v>2043</v>
      </c>
      <c r="D123" s="63">
        <f>IF(A123&lt;='Eingabeblatt 1'!$D$18,D122+1,"")</f>
        <v>25</v>
      </c>
      <c r="E123" s="64">
        <f>IF(A123&lt;='Eingabeblatt 1'!$D$18,IF(D123='Eingabeblatt 1'!$D$34,-'Eingabeblatt 1'!$L$34*(1+'Eingabeblatt 1'!$J$34)^D123,IF(D123='Eingabeblatt 1'!$D$35,-'Eingabeblatt 1'!$L$35*(1+'Eingabeblatt 1'!$J$35)^D123,IF(D123='Eingabeblatt 1'!$D$36,-'Eingabeblatt 1'!$L$36*(1+'Eingabeblatt 1'!$J$36)^D123,0))),"")</f>
        <v>0</v>
      </c>
      <c r="F123" s="64">
        <f t="shared" si="10"/>
        <v>-1332965.6200000001</v>
      </c>
      <c r="G123" s="65">
        <f>IF(A123&lt;='Eingabeblatt 1'!$D$18,IF(D123='Eingabeblatt 1'!$D$41,-('Eingabeblatt 1'!$L$40+'Eingabeblatt 1'!$L$41)*(1+'Eingabeblatt 1'!$J$40)^D123,-('Eingabeblatt 1'!$L$40)*(1+'Eingabeblatt 1'!$J$40)^D123),"")</f>
        <v>-574212.09806265531</v>
      </c>
      <c r="H123" s="66">
        <f>IF(A123&lt;='Eingabeblatt 1'!$D$18,H122*(1+'Eingabeblatt 1'!$J$42),"")</f>
        <v>-597018.3016298603</v>
      </c>
      <c r="I123" s="66">
        <f>IF(A123&lt;='Eingabeblatt 1'!$D$18,(-'Eingabeblatt 1'!$L$45*(1+'Eingabeblatt 1'!$J$45)^Ergebnis!D123)-('Eingabeblatt 1'!$L$46*(1+'Eingabeblatt 1'!$J$46)^Ergebnis!D123)-('Eingabeblatt 1'!$L$47*(1+'Eingabeblatt 1'!$J$47)^Ergebnis!D123),"")</f>
        <v>-273816.79830220889</v>
      </c>
      <c r="J123" s="67">
        <f>IF(A122&lt;='Eingabeblatt 1'!$D$18,'Eingabeblatt 1'!$D$51*(1+'Eingabeblatt 1'!$J$51)^Ergebnis!D123,"")</f>
        <v>0</v>
      </c>
      <c r="K123" s="68">
        <f t="shared" si="12"/>
        <v>0</v>
      </c>
      <c r="L123" s="68">
        <f>IF(D123&lt;='Eingabeblatt 1'!$D$18,(SUMIFS('Eingabeblatt 2'!$K$14:$K$53,'Eingabeblatt 2'!$E$14:$E$53,Ergebnis!D123))*(1+'Eingabeblatt 1'!$J$34)^Ergebnis!D123,"")</f>
        <v>0</v>
      </c>
      <c r="M123" s="373">
        <f>IF(A123&lt;='Eingabeblatt 1'!$D$18,SUM(G123:L123)+E123,"")</f>
        <v>-1445047.1979947244</v>
      </c>
      <c r="N123" s="83">
        <f>IF(A123&lt;='Eingabeblatt 1'!$D$18,(E123+G123+I123+H123+J123+K123+L123)/(1+'Eingabeblatt 1'!$D$19)^D123,"")</f>
        <v>-542061.48401783151</v>
      </c>
      <c r="O123" s="419">
        <f>IF(A123&lt;='Eingabeblatt 1'!$D$18,O122+N123,"")</f>
        <v>-73941922.399046063</v>
      </c>
      <c r="P123" s="89"/>
      <c r="Q123" s="89"/>
      <c r="R123" s="93">
        <f>(((40-D123)/40*$Q$98))*('Eingabeblatt 1'!$D$20)+$Q$98/40</f>
        <v>93502.5</v>
      </c>
      <c r="S123" s="93"/>
      <c r="T123" s="93">
        <f>(((30-D123)/30*$S$98))*('Eingabeblatt 1'!$D$20)+$S$98/30</f>
        <v>0</v>
      </c>
      <c r="U123" s="93"/>
      <c r="V123" s="93">
        <f>(((20-D104)/20*$U$118))*('Eingabeblatt 1'!$D$20)+$U$118/20</f>
        <v>594791.68000000005</v>
      </c>
      <c r="W123" s="93"/>
      <c r="X123" s="93">
        <f>(((10-D104)/10*$W$118))*('Eingabeblatt 1'!$D$20)+$W$118/10</f>
        <v>644671.43999999994</v>
      </c>
      <c r="Y123" s="97">
        <f t="shared" si="11"/>
        <v>1332965.6200000001</v>
      </c>
      <c r="Z123" s="89"/>
      <c r="AA123" s="89"/>
      <c r="AB123" s="89"/>
      <c r="AC123" s="89"/>
      <c r="AD123" s="89"/>
      <c r="AE123" s="89"/>
      <c r="AF123" s="89"/>
      <c r="AG123" s="90"/>
      <c r="AH123" s="90"/>
      <c r="AI123" s="90"/>
      <c r="AJ123" s="90"/>
      <c r="AK123" s="89"/>
      <c r="AL123" s="89"/>
      <c r="AM123" s="89"/>
      <c r="AN123" s="89"/>
      <c r="AO123" s="89"/>
      <c r="AP123" s="89"/>
      <c r="AQ123" s="89"/>
      <c r="AR123" s="89"/>
      <c r="AS123" s="89"/>
      <c r="AT123" s="89"/>
      <c r="AU123" s="89"/>
      <c r="AV123" s="89"/>
      <c r="AW123" s="89"/>
      <c r="AX123" s="89"/>
      <c r="AY123" s="87"/>
      <c r="AZ123" s="87"/>
      <c r="BA123" s="87"/>
      <c r="BB123" s="87"/>
      <c r="BC123" s="87"/>
      <c r="BD123" s="87"/>
      <c r="BE123" s="87"/>
      <c r="BF123" s="87"/>
      <c r="BG123" s="87"/>
      <c r="BH123" s="87"/>
      <c r="BI123" s="87"/>
      <c r="BJ123" s="87"/>
      <c r="BK123" s="87"/>
      <c r="BL123" s="87"/>
      <c r="BM123" s="87"/>
      <c r="BN123" s="87"/>
      <c r="BO123" s="87"/>
      <c r="BP123" s="87"/>
      <c r="BQ123" s="87"/>
      <c r="BR123" s="87"/>
      <c r="BS123" s="87"/>
      <c r="BT123" s="87"/>
      <c r="BU123" s="87"/>
      <c r="BV123" s="87"/>
      <c r="BW123" s="87"/>
      <c r="BX123" s="87"/>
      <c r="BY123" s="87"/>
      <c r="BZ123" s="87"/>
      <c r="CA123" s="87"/>
      <c r="CB123" s="87"/>
      <c r="CC123" s="87"/>
      <c r="CD123" s="87"/>
      <c r="CE123" s="87"/>
      <c r="CF123" s="87"/>
      <c r="CG123" s="87"/>
      <c r="CH123" s="87"/>
      <c r="CI123" s="87"/>
      <c r="CJ123" s="87"/>
      <c r="CK123" s="87"/>
      <c r="CL123" s="87"/>
      <c r="CM123" s="87"/>
      <c r="CN123" s="87"/>
      <c r="CO123" s="87"/>
      <c r="CP123" s="87"/>
      <c r="CQ123" s="87"/>
      <c r="CR123" s="87"/>
      <c r="CS123" s="87"/>
      <c r="CT123" s="87"/>
      <c r="CU123" s="87"/>
      <c r="CV123" s="87"/>
      <c r="CW123" s="87"/>
      <c r="CX123" s="87"/>
    </row>
    <row r="124" spans="1:102" x14ac:dyDescent="0.3">
      <c r="A124" s="28">
        <v>26</v>
      </c>
      <c r="C124" s="62">
        <f>IF(A124&lt;='Eingabeblatt 1'!$D$18,C123+1,"")</f>
        <v>2044</v>
      </c>
      <c r="D124" s="63">
        <f>IF(A124&lt;='Eingabeblatt 1'!$D$18,D123+1,"")</f>
        <v>26</v>
      </c>
      <c r="E124" s="64">
        <f>IF(A124&lt;='Eingabeblatt 1'!$D$18,IF(D124='Eingabeblatt 1'!$D$34,-'Eingabeblatt 1'!$L$34*(1+'Eingabeblatt 1'!$J$34)^D124,IF(D124='Eingabeblatt 1'!$D$35,-'Eingabeblatt 1'!$L$35*(1+'Eingabeblatt 1'!$J$35)^D124,IF(D124='Eingabeblatt 1'!$D$36,-'Eingabeblatt 1'!$L$36*(1+'Eingabeblatt 1'!$J$36)^D124,0))),"")</f>
        <v>0</v>
      </c>
      <c r="F124" s="64">
        <f t="shared" si="10"/>
        <v>-1310295.1400000001</v>
      </c>
      <c r="G124" s="65">
        <f>IF(A124&lt;='Eingabeblatt 1'!$D$18,IF(D124='Eingabeblatt 1'!$D$41,-('Eingabeblatt 1'!$L$40+'Eingabeblatt 1'!$L$41)*(1+'Eingabeblatt 1'!$J$40)^D124,-('Eingabeblatt 1'!$L$40)*(1+'Eingabeblatt 1'!$J$40)^D124),"")</f>
        <v>-585696.34002390853</v>
      </c>
      <c r="H124" s="66">
        <f>IF(A124&lt;='Eingabeblatt 1'!$D$18,H123*(1+'Eingabeblatt 1'!$J$42),"")</f>
        <v>-610451.21341653215</v>
      </c>
      <c r="I124" s="66">
        <f>IF(A124&lt;='Eingabeblatt 1'!$D$18,(-'Eingabeblatt 1'!$L$45*(1+'Eingabeblatt 1'!$J$45)^Ergebnis!D124)-('Eingabeblatt 1'!$L$46*(1+'Eingabeblatt 1'!$J$46)^Ergebnis!D124)-('Eingabeblatt 1'!$L$47*(1+'Eingabeblatt 1'!$J$47)^Ergebnis!D124),"")</f>
        <v>-275811.28372459556</v>
      </c>
      <c r="J124" s="67">
        <f>IF(A123&lt;='Eingabeblatt 1'!$D$18,'Eingabeblatt 1'!$D$51*(1+'Eingabeblatt 1'!$J$51)^Ergebnis!D124,"")</f>
        <v>0</v>
      </c>
      <c r="K124" s="68">
        <f t="shared" si="12"/>
        <v>0</v>
      </c>
      <c r="L124" s="68">
        <f>IF(D124&lt;='Eingabeblatt 1'!$D$18,(SUMIFS('Eingabeblatt 2'!$K$14:$K$53,'Eingabeblatt 2'!$E$14:$E$53,Ergebnis!D124))*(1+'Eingabeblatt 1'!$J$34)^Ergebnis!D124,"")</f>
        <v>0</v>
      </c>
      <c r="M124" s="373">
        <f>IF(A124&lt;='Eingabeblatt 1'!$D$18,SUM(G124:L124)+E124,"")</f>
        <v>-1471958.8371650362</v>
      </c>
      <c r="N124" s="83">
        <f>IF(A124&lt;='Eingabeblatt 1'!$D$18,(E124+G124+I124+H124+J124+K124+L124)/(1+'Eingabeblatt 1'!$D$19)^D124,"")</f>
        <v>-530919.70389116486</v>
      </c>
      <c r="O124" s="419">
        <f>IF(A124&lt;='Eingabeblatt 1'!$D$18,O123+N124,"")</f>
        <v>-74472842.102937222</v>
      </c>
      <c r="P124" s="89"/>
      <c r="Q124" s="89"/>
      <c r="R124" s="93">
        <f>(((40-D124)/40*$Q$98))*('Eingabeblatt 1'!$D$20)+$Q$98/40</f>
        <v>92064</v>
      </c>
      <c r="S124" s="93"/>
      <c r="T124" s="93">
        <f>(((30-D124)/30*$S$98))*('Eingabeblatt 1'!$D$20)+$S$98/30</f>
        <v>0</v>
      </c>
      <c r="U124" s="93"/>
      <c r="V124" s="93">
        <f>(((20-D105)/20*$U$118))*('Eingabeblatt 1'!$D$20)+$U$118/20</f>
        <v>585498.06000000006</v>
      </c>
      <c r="W124" s="93"/>
      <c r="X124" s="93">
        <f>(((10-D105)/10*$W$118))*('Eingabeblatt 1'!$D$20)+$W$118/10</f>
        <v>632733.07999999996</v>
      </c>
      <c r="Y124" s="97">
        <f t="shared" si="11"/>
        <v>1310295.1400000001</v>
      </c>
      <c r="Z124" s="89"/>
      <c r="AA124" s="89"/>
      <c r="AB124" s="89"/>
      <c r="AC124" s="89"/>
      <c r="AD124" s="89"/>
      <c r="AE124" s="89"/>
      <c r="AF124" s="89"/>
      <c r="AG124" s="90"/>
      <c r="AH124" s="90"/>
      <c r="AI124" s="90"/>
      <c r="AJ124" s="90"/>
      <c r="AK124" s="89"/>
      <c r="AL124" s="89"/>
      <c r="AM124" s="89"/>
      <c r="AN124" s="89"/>
      <c r="AO124" s="89"/>
      <c r="AP124" s="89"/>
      <c r="AQ124" s="89"/>
      <c r="AR124" s="89"/>
      <c r="AS124" s="89"/>
      <c r="AT124" s="89"/>
      <c r="AU124" s="89"/>
      <c r="AV124" s="89"/>
      <c r="AW124" s="89"/>
      <c r="AX124" s="89"/>
      <c r="AY124" s="87"/>
      <c r="AZ124" s="87"/>
      <c r="BA124" s="87"/>
      <c r="BB124" s="87"/>
      <c r="BC124" s="87"/>
      <c r="BD124" s="87"/>
      <c r="BE124" s="87"/>
      <c r="BF124" s="87"/>
      <c r="BG124" s="87"/>
      <c r="BH124" s="87"/>
      <c r="BI124" s="87"/>
      <c r="BJ124" s="87"/>
      <c r="BK124" s="87"/>
      <c r="BL124" s="87"/>
      <c r="BM124" s="87"/>
      <c r="BN124" s="87"/>
      <c r="BO124" s="87"/>
      <c r="BP124" s="87"/>
      <c r="BQ124" s="87"/>
      <c r="BR124" s="87"/>
      <c r="BS124" s="87"/>
      <c r="BT124" s="87"/>
      <c r="BU124" s="87"/>
      <c r="BV124" s="87"/>
      <c r="BW124" s="87"/>
      <c r="BX124" s="87"/>
      <c r="BY124" s="87"/>
      <c r="BZ124" s="87"/>
      <c r="CA124" s="87"/>
      <c r="CB124" s="87"/>
      <c r="CC124" s="87"/>
      <c r="CD124" s="87"/>
      <c r="CE124" s="87"/>
      <c r="CF124" s="87"/>
      <c r="CG124" s="87"/>
      <c r="CH124" s="87"/>
      <c r="CI124" s="87"/>
      <c r="CJ124" s="87"/>
      <c r="CK124" s="87"/>
      <c r="CL124" s="87"/>
      <c r="CM124" s="87"/>
      <c r="CN124" s="87"/>
      <c r="CO124" s="87"/>
      <c r="CP124" s="87"/>
      <c r="CQ124" s="87"/>
      <c r="CR124" s="87"/>
      <c r="CS124" s="87"/>
      <c r="CT124" s="87"/>
      <c r="CU124" s="87"/>
      <c r="CV124" s="87"/>
      <c r="CW124" s="87"/>
      <c r="CX124" s="87"/>
    </row>
    <row r="125" spans="1:102" x14ac:dyDescent="0.3">
      <c r="A125" s="28">
        <v>27</v>
      </c>
      <c r="C125" s="62">
        <f>IF(A125&lt;='Eingabeblatt 1'!$D$18,C124+1,"")</f>
        <v>2045</v>
      </c>
      <c r="D125" s="63">
        <f>IF(A125&lt;='Eingabeblatt 1'!$D$18,D124+1,"")</f>
        <v>27</v>
      </c>
      <c r="E125" s="64">
        <f>IF(A125&lt;='Eingabeblatt 1'!$D$18,IF(D125='Eingabeblatt 1'!$D$34,-'Eingabeblatt 1'!$L$34*(1+'Eingabeblatt 1'!$J$34)^D125,IF(D125='Eingabeblatt 1'!$D$35,-'Eingabeblatt 1'!$L$35*(1+'Eingabeblatt 1'!$J$35)^D125,IF(D125='Eingabeblatt 1'!$D$36,-'Eingabeblatt 1'!$L$36*(1+'Eingabeblatt 1'!$J$36)^D125,0))),"")</f>
        <v>0</v>
      </c>
      <c r="F125" s="64">
        <f t="shared" si="10"/>
        <v>-1287624.6599999999</v>
      </c>
      <c r="G125" s="65">
        <f>IF(A125&lt;='Eingabeblatt 1'!$D$18,IF(D125='Eingabeblatt 1'!$D$41,-('Eingabeblatt 1'!$L$40+'Eingabeblatt 1'!$L$41)*(1+'Eingabeblatt 1'!$J$40)^D125,-('Eingabeblatt 1'!$L$40)*(1+'Eingabeblatt 1'!$J$40)^D125),"")</f>
        <v>-597410.26682438655</v>
      </c>
      <c r="H125" s="66">
        <f>IF(A125&lt;='Eingabeblatt 1'!$D$18,H124*(1+'Eingabeblatt 1'!$J$42),"")</f>
        <v>-624186.36571840406</v>
      </c>
      <c r="I125" s="66">
        <f>IF(A125&lt;='Eingabeblatt 1'!$D$18,(-'Eingabeblatt 1'!$L$45*(1+'Eingabeblatt 1'!$J$45)^Ergebnis!D125)-('Eingabeblatt 1'!$L$46*(1+'Eingabeblatt 1'!$J$46)^Ergebnis!D125)-('Eingabeblatt 1'!$L$47*(1+'Eingabeblatt 1'!$J$47)^Ergebnis!D125),"")</f>
        <v>-277821.9955884029</v>
      </c>
      <c r="J125" s="67">
        <f>IF(A124&lt;='Eingabeblatt 1'!$D$18,'Eingabeblatt 1'!$D$51*(1+'Eingabeblatt 1'!$J$51)^Ergebnis!D125,"")</f>
        <v>0</v>
      </c>
      <c r="K125" s="68">
        <f t="shared" si="12"/>
        <v>0</v>
      </c>
      <c r="L125" s="68">
        <f>IF(D125&lt;='Eingabeblatt 1'!$D$18,(SUMIFS('Eingabeblatt 2'!$K$14:$K$53,'Eingabeblatt 2'!$E$14:$E$53,Ergebnis!D125))*(1+'Eingabeblatt 1'!$J$34)^Ergebnis!D125,"")</f>
        <v>0</v>
      </c>
      <c r="M125" s="373">
        <f>IF(A125&lt;='Eingabeblatt 1'!$D$18,SUM(G125:L125)+E125,"")</f>
        <v>-1499418.6281311936</v>
      </c>
      <c r="N125" s="83">
        <f>IF(A125&lt;='Eingabeblatt 1'!$D$18,(E125+G125+I125+H125+J125+K125+L125)/(1+'Eingabeblatt 1'!$D$19)^D125,"")</f>
        <v>-520023.22579937003</v>
      </c>
      <c r="O125" s="419">
        <f>IF(A125&lt;='Eingabeblatt 1'!$D$18,O124+N125,"")</f>
        <v>-74992865.328736588</v>
      </c>
      <c r="P125" s="89"/>
      <c r="Q125" s="89"/>
      <c r="R125" s="93">
        <f>(((40-D125)/40*$Q$98))*('Eingabeblatt 1'!$D$20)+$Q$98/40</f>
        <v>90625.5</v>
      </c>
      <c r="S125" s="93"/>
      <c r="T125" s="93">
        <f>(((30-D125)/30*$S$98))*('Eingabeblatt 1'!$D$20)+$S$98/30</f>
        <v>0</v>
      </c>
      <c r="U125" s="93"/>
      <c r="V125" s="93">
        <f>(((20-D106)/20*$U$118))*('Eingabeblatt 1'!$D$20)+$U$118/20</f>
        <v>576204.43999999994</v>
      </c>
      <c r="W125" s="93"/>
      <c r="X125" s="93">
        <f>(((10-D106)/10*$W$118))*('Eingabeblatt 1'!$D$20)+$W$118/10</f>
        <v>620794.72</v>
      </c>
      <c r="Y125" s="97">
        <f t="shared" si="11"/>
        <v>1287624.6599999999</v>
      </c>
      <c r="Z125" s="89"/>
      <c r="AA125" s="89"/>
      <c r="AB125" s="89"/>
      <c r="AC125" s="89"/>
      <c r="AD125" s="89"/>
      <c r="AE125" s="89"/>
      <c r="AF125" s="89"/>
      <c r="AG125" s="90"/>
      <c r="AH125" s="90"/>
      <c r="AI125" s="90"/>
      <c r="AJ125" s="90"/>
      <c r="AK125" s="89"/>
      <c r="AL125" s="89"/>
      <c r="AM125" s="89"/>
      <c r="AN125" s="89"/>
      <c r="AO125" s="89"/>
      <c r="AP125" s="89"/>
      <c r="AQ125" s="89"/>
      <c r="AR125" s="89"/>
      <c r="AS125" s="89"/>
      <c r="AT125" s="89"/>
      <c r="AU125" s="89"/>
      <c r="AV125" s="89"/>
      <c r="AW125" s="89"/>
      <c r="AX125" s="89"/>
      <c r="AY125" s="87"/>
      <c r="AZ125" s="87"/>
      <c r="BA125" s="87"/>
      <c r="BB125" s="87"/>
      <c r="BC125" s="87"/>
      <c r="BD125" s="87"/>
      <c r="BE125" s="87"/>
      <c r="BF125" s="87"/>
      <c r="BG125" s="87"/>
      <c r="BH125" s="87"/>
      <c r="BI125" s="87"/>
      <c r="BJ125" s="87"/>
      <c r="BK125" s="87"/>
      <c r="BL125" s="87"/>
      <c r="BM125" s="87"/>
      <c r="BN125" s="87"/>
      <c r="BO125" s="87"/>
      <c r="BP125" s="87"/>
      <c r="BQ125" s="87"/>
      <c r="BR125" s="87"/>
      <c r="BS125" s="87"/>
      <c r="BT125" s="87"/>
      <c r="BU125" s="87"/>
      <c r="BV125" s="87"/>
      <c r="BW125" s="87"/>
      <c r="BX125" s="87"/>
      <c r="BY125" s="87"/>
      <c r="BZ125" s="87"/>
      <c r="CA125" s="87"/>
      <c r="CB125" s="87"/>
      <c r="CC125" s="87"/>
      <c r="CD125" s="87"/>
      <c r="CE125" s="87"/>
      <c r="CF125" s="87"/>
      <c r="CG125" s="87"/>
      <c r="CH125" s="87"/>
      <c r="CI125" s="87"/>
      <c r="CJ125" s="87"/>
      <c r="CK125" s="87"/>
      <c r="CL125" s="87"/>
      <c r="CM125" s="87"/>
      <c r="CN125" s="87"/>
      <c r="CO125" s="87"/>
      <c r="CP125" s="87"/>
      <c r="CQ125" s="87"/>
      <c r="CR125" s="87"/>
      <c r="CS125" s="87"/>
      <c r="CT125" s="87"/>
      <c r="CU125" s="87"/>
      <c r="CV125" s="87"/>
      <c r="CW125" s="87"/>
      <c r="CX125" s="87"/>
    </row>
    <row r="126" spans="1:102" x14ac:dyDescent="0.3">
      <c r="A126" s="28">
        <v>28</v>
      </c>
      <c r="C126" s="62">
        <f>IF(A126&lt;='Eingabeblatt 1'!$D$18,C125+1,"")</f>
        <v>2046</v>
      </c>
      <c r="D126" s="63">
        <f>IF(A126&lt;='Eingabeblatt 1'!$D$18,D125+1,"")</f>
        <v>28</v>
      </c>
      <c r="E126" s="64">
        <f>IF(A126&lt;='Eingabeblatt 1'!$D$18,IF(D126='Eingabeblatt 1'!$D$34,-'Eingabeblatt 1'!$L$34*(1+'Eingabeblatt 1'!$J$34)^D126,IF(D126='Eingabeblatt 1'!$D$35,-'Eingabeblatt 1'!$L$35*(1+'Eingabeblatt 1'!$J$35)^D126,IF(D126='Eingabeblatt 1'!$D$36,-'Eingabeblatt 1'!$L$36*(1+'Eingabeblatt 1'!$J$36)^D126,0))),"")</f>
        <v>0</v>
      </c>
      <c r="F126" s="64">
        <f t="shared" si="10"/>
        <v>-1264954.1800000002</v>
      </c>
      <c r="G126" s="65">
        <f>IF(A126&lt;='Eingabeblatt 1'!$D$18,IF(D126='Eingabeblatt 1'!$D$41,-('Eingabeblatt 1'!$L$40+'Eingabeblatt 1'!$L$41)*(1+'Eingabeblatt 1'!$J$40)^D126,-('Eingabeblatt 1'!$L$40)*(1+'Eingabeblatt 1'!$J$40)^D126),"")</f>
        <v>-609358.4721608744</v>
      </c>
      <c r="H126" s="66">
        <f>IF(A126&lt;='Eingabeblatt 1'!$D$18,H125*(1+'Eingabeblatt 1'!$J$42),"")</f>
        <v>-638230.55894706817</v>
      </c>
      <c r="I126" s="66">
        <f>IF(A126&lt;='Eingabeblatt 1'!$D$18,(-'Eingabeblatt 1'!$L$45*(1+'Eingabeblatt 1'!$J$45)^Ergebnis!D126)-('Eingabeblatt 1'!$L$46*(1+'Eingabeblatt 1'!$J$46)^Ergebnis!D126)-('Eingabeblatt 1'!$L$47*(1+'Eingabeblatt 1'!$J$47)^Ergebnis!D126),"")</f>
        <v>-279849.07756598113</v>
      </c>
      <c r="J126" s="67">
        <f>IF(A125&lt;='Eingabeblatt 1'!$D$18,'Eingabeblatt 1'!$D$51*(1+'Eingabeblatt 1'!$J$51)^Ergebnis!D126,"")</f>
        <v>0</v>
      </c>
      <c r="K126" s="68">
        <f t="shared" si="12"/>
        <v>0</v>
      </c>
      <c r="L126" s="68">
        <f>IF(D126&lt;='Eingabeblatt 1'!$D$18,(SUMIFS('Eingabeblatt 2'!$K$14:$K$53,'Eingabeblatt 2'!$E$14:$E$53,Ergebnis!D126))*(1+'Eingabeblatt 1'!$J$34)^Ergebnis!D126,"")</f>
        <v>0</v>
      </c>
      <c r="M126" s="373">
        <f>IF(A126&lt;='Eingabeblatt 1'!$D$18,SUM(G126:L126)+E126,"")</f>
        <v>-1527438.1086739236</v>
      </c>
      <c r="N126" s="83">
        <f>IF(A126&lt;='Eingabeblatt 1'!$D$18,(E126+G126+I126+H126+J126+K126+L126)/(1+'Eingabeblatt 1'!$D$19)^D126,"")</f>
        <v>-509366.19801736437</v>
      </c>
      <c r="O126" s="419">
        <f>IF(A126&lt;='Eingabeblatt 1'!$D$18,O125+N126,"")</f>
        <v>-75502231.526753947</v>
      </c>
      <c r="P126" s="89"/>
      <c r="Q126" s="89"/>
      <c r="R126" s="93">
        <f>(((40-D126)/40*$Q$98))*('Eingabeblatt 1'!$D$20)+$Q$98/40</f>
        <v>89187</v>
      </c>
      <c r="S126" s="93"/>
      <c r="T126" s="93">
        <f>(((30-D126)/30*$S$98))*('Eingabeblatt 1'!$D$20)+$S$98/30</f>
        <v>0</v>
      </c>
      <c r="U126" s="93"/>
      <c r="V126" s="93">
        <f>(((20-D107)/20*$U$118))*('Eingabeblatt 1'!$D$20)+$U$118/20</f>
        <v>566910.82000000007</v>
      </c>
      <c r="W126" s="93"/>
      <c r="X126" s="93">
        <f>(((10-D107)/10*$W$118))*('Eingabeblatt 1'!$D$20)+$W$118/10</f>
        <v>608856.36</v>
      </c>
      <c r="Y126" s="97">
        <f t="shared" si="11"/>
        <v>1264954.1800000002</v>
      </c>
      <c r="Z126" s="89"/>
      <c r="AA126" s="89"/>
      <c r="AB126" s="89"/>
      <c r="AC126" s="89"/>
      <c r="AD126" s="89"/>
      <c r="AE126" s="89"/>
      <c r="AF126" s="89"/>
      <c r="AG126" s="90"/>
      <c r="AH126" s="90"/>
      <c r="AI126" s="90"/>
      <c r="AJ126" s="90"/>
      <c r="AK126" s="89"/>
      <c r="AL126" s="89"/>
      <c r="AM126" s="89"/>
      <c r="AN126" s="89"/>
      <c r="AO126" s="89"/>
      <c r="AP126" s="89"/>
      <c r="AQ126" s="89"/>
      <c r="AR126" s="89"/>
      <c r="AS126" s="89"/>
      <c r="AT126" s="89"/>
      <c r="AU126" s="89"/>
      <c r="AV126" s="89"/>
      <c r="AW126" s="89"/>
      <c r="AX126" s="89"/>
      <c r="AY126" s="87"/>
      <c r="AZ126" s="87"/>
      <c r="BA126" s="87"/>
      <c r="BB126" s="87"/>
      <c r="BC126" s="87"/>
      <c r="BD126" s="87"/>
      <c r="BE126" s="87"/>
      <c r="BF126" s="87"/>
      <c r="BG126" s="87"/>
      <c r="BH126" s="87"/>
      <c r="BI126" s="87"/>
      <c r="BJ126" s="87"/>
      <c r="BK126" s="87"/>
      <c r="BL126" s="87"/>
      <c r="BM126" s="87"/>
      <c r="BN126" s="87"/>
      <c r="BO126" s="87"/>
      <c r="BP126" s="87"/>
      <c r="BQ126" s="87"/>
      <c r="BR126" s="87"/>
      <c r="BS126" s="87"/>
      <c r="BT126" s="87"/>
      <c r="BU126" s="87"/>
      <c r="BV126" s="87"/>
      <c r="BW126" s="87"/>
      <c r="BX126" s="87"/>
      <c r="BY126" s="87"/>
      <c r="BZ126" s="87"/>
      <c r="CA126" s="87"/>
      <c r="CB126" s="87"/>
      <c r="CC126" s="87"/>
      <c r="CD126" s="87"/>
      <c r="CE126" s="87"/>
      <c r="CF126" s="87"/>
      <c r="CG126" s="87"/>
      <c r="CH126" s="87"/>
      <c r="CI126" s="87"/>
      <c r="CJ126" s="87"/>
      <c r="CK126" s="87"/>
      <c r="CL126" s="87"/>
      <c r="CM126" s="87"/>
      <c r="CN126" s="87"/>
      <c r="CO126" s="87"/>
      <c r="CP126" s="87"/>
      <c r="CQ126" s="87"/>
      <c r="CR126" s="87"/>
      <c r="CS126" s="87"/>
      <c r="CT126" s="87"/>
      <c r="CU126" s="87"/>
      <c r="CV126" s="87"/>
      <c r="CW126" s="87"/>
      <c r="CX126" s="87"/>
    </row>
    <row r="127" spans="1:102" x14ac:dyDescent="0.3">
      <c r="A127" s="28">
        <v>29</v>
      </c>
      <c r="C127" s="62">
        <f>IF(A127&lt;='Eingabeblatt 1'!$D$18,C126+1,"")</f>
        <v>2047</v>
      </c>
      <c r="D127" s="63">
        <f>IF(A127&lt;='Eingabeblatt 1'!$D$18,D126+1,"")</f>
        <v>29</v>
      </c>
      <c r="E127" s="64">
        <f>IF(A127&lt;='Eingabeblatt 1'!$D$18,IF(D127='Eingabeblatt 1'!$D$34,-'Eingabeblatt 1'!$L$34*(1+'Eingabeblatt 1'!$J$34)^D127,IF(D127='Eingabeblatt 1'!$D$35,-'Eingabeblatt 1'!$L$35*(1+'Eingabeblatt 1'!$J$35)^D127,IF(D127='Eingabeblatt 1'!$D$36,-'Eingabeblatt 1'!$L$36*(1+'Eingabeblatt 1'!$J$36)^D127,0))),"")</f>
        <v>0</v>
      </c>
      <c r="F127" s="64">
        <f t="shared" si="10"/>
        <v>-1242283.7</v>
      </c>
      <c r="G127" s="65">
        <f>IF(A127&lt;='Eingabeblatt 1'!$D$18,IF(D127='Eingabeblatt 1'!$D$41,-('Eingabeblatt 1'!$L$40+'Eingabeblatt 1'!$L$41)*(1+'Eingabeblatt 1'!$J$40)^D127,-('Eingabeblatt 1'!$L$40)*(1+'Eingabeblatt 1'!$J$40)^D127),"")</f>
        <v>-621545.64160409186</v>
      </c>
      <c r="H127" s="66">
        <f>IF(A127&lt;='Eingabeblatt 1'!$D$18,H126*(1+'Eingabeblatt 1'!$J$42),"")</f>
        <v>-652590.74652337714</v>
      </c>
      <c r="I127" s="66">
        <f>IF(A127&lt;='Eingabeblatt 1'!$D$18,(-'Eingabeblatt 1'!$L$45*(1+'Eingabeblatt 1'!$J$45)^Ergebnis!D127)-('Eingabeblatt 1'!$L$46*(1+'Eingabeblatt 1'!$J$46)^Ergebnis!D127)-('Eingabeblatt 1'!$L$47*(1+'Eingabeblatt 1'!$J$47)^Ergebnis!D127),"")</f>
        <v>-281892.67467344366</v>
      </c>
      <c r="J127" s="67">
        <f>IF(A126&lt;='Eingabeblatt 1'!$D$18,'Eingabeblatt 1'!$D$51*(1+'Eingabeblatt 1'!$J$51)^Ergebnis!D127,"")</f>
        <v>0</v>
      </c>
      <c r="K127" s="68">
        <f t="shared" si="12"/>
        <v>0</v>
      </c>
      <c r="L127" s="68">
        <f>IF(D127&lt;='Eingabeblatt 1'!$D$18,(SUMIFS('Eingabeblatt 2'!$K$14:$K$53,'Eingabeblatt 2'!$E$14:$E$53,Ergebnis!D127))*(1+'Eingabeblatt 1'!$J$34)^Ergebnis!D127,"")</f>
        <v>0</v>
      </c>
      <c r="M127" s="373">
        <f>IF(A127&lt;='Eingabeblatt 1'!$D$18,SUM(G127:L127)+E127,"")</f>
        <v>-1556029.0628009127</v>
      </c>
      <c r="N127" s="83">
        <f>IF(A127&lt;='Eingabeblatt 1'!$D$18,(E127+G127+I127+H127+J127+K127+L127)/(1+'Eingabeblatt 1'!$D$19)^D127,"")</f>
        <v>-498942.92028953519</v>
      </c>
      <c r="O127" s="419">
        <f>IF(A127&lt;='Eingabeblatt 1'!$D$18,O126+N127,"")</f>
        <v>-76001174.447043478</v>
      </c>
      <c r="P127" s="89"/>
      <c r="Q127" s="89"/>
      <c r="R127" s="93">
        <f>(((40-D127)/40*$Q$98))*('Eingabeblatt 1'!$D$20)+$Q$98/40</f>
        <v>87748.5</v>
      </c>
      <c r="S127" s="93"/>
      <c r="T127" s="93">
        <f>(((30-D127)/30*$S$98))*('Eingabeblatt 1'!$D$20)+$S$98/30</f>
        <v>0</v>
      </c>
      <c r="U127" s="93"/>
      <c r="V127" s="93">
        <f>(((20-D108)/20*$U$118))*('Eingabeblatt 1'!$D$20)+$U$118/20</f>
        <v>557617.19999999995</v>
      </c>
      <c r="W127" s="93"/>
      <c r="X127" s="93">
        <f>(((10-D108)/10*$W$118))*('Eingabeblatt 1'!$D$20)+$W$118/10</f>
        <v>596918</v>
      </c>
      <c r="Y127" s="97">
        <f t="shared" si="11"/>
        <v>1242283.7</v>
      </c>
      <c r="Z127" s="89"/>
      <c r="AA127" s="89"/>
      <c r="AB127" s="89"/>
      <c r="AC127" s="89"/>
      <c r="AD127" s="89"/>
      <c r="AE127" s="89"/>
      <c r="AF127" s="89"/>
      <c r="AG127" s="90"/>
      <c r="AH127" s="90"/>
      <c r="AI127" s="90"/>
      <c r="AJ127" s="90"/>
      <c r="AK127" s="89"/>
      <c r="AL127" s="89"/>
      <c r="AM127" s="89"/>
      <c r="AN127" s="89"/>
      <c r="AO127" s="89"/>
      <c r="AP127" s="89"/>
      <c r="AQ127" s="89"/>
      <c r="AR127" s="89"/>
      <c r="AS127" s="89"/>
      <c r="AT127" s="89"/>
      <c r="AU127" s="89"/>
      <c r="AV127" s="89"/>
      <c r="AW127" s="89"/>
      <c r="AX127" s="89"/>
      <c r="AY127" s="87"/>
      <c r="AZ127" s="87"/>
      <c r="BA127" s="87"/>
      <c r="BB127" s="87"/>
      <c r="BC127" s="87"/>
      <c r="BD127" s="87"/>
      <c r="BE127" s="87"/>
      <c r="BF127" s="87"/>
      <c r="BG127" s="87"/>
      <c r="BH127" s="87"/>
      <c r="BI127" s="87"/>
      <c r="BJ127" s="87"/>
      <c r="BK127" s="87"/>
      <c r="BL127" s="87"/>
      <c r="BM127" s="87"/>
      <c r="BN127" s="87"/>
      <c r="BO127" s="87"/>
      <c r="BP127" s="87"/>
      <c r="BQ127" s="87"/>
      <c r="BR127" s="87"/>
      <c r="BS127" s="87"/>
      <c r="BT127" s="87"/>
      <c r="BU127" s="87"/>
      <c r="BV127" s="87"/>
      <c r="BW127" s="87"/>
      <c r="BX127" s="87"/>
      <c r="BY127" s="87"/>
      <c r="BZ127" s="87"/>
      <c r="CA127" s="87"/>
      <c r="CB127" s="87"/>
      <c r="CC127" s="87"/>
      <c r="CD127" s="87"/>
      <c r="CE127" s="87"/>
      <c r="CF127" s="87"/>
      <c r="CG127" s="87"/>
      <c r="CH127" s="87"/>
      <c r="CI127" s="87"/>
      <c r="CJ127" s="87"/>
      <c r="CK127" s="87"/>
      <c r="CL127" s="87"/>
      <c r="CM127" s="87"/>
      <c r="CN127" s="87"/>
      <c r="CO127" s="87"/>
      <c r="CP127" s="87"/>
      <c r="CQ127" s="87"/>
      <c r="CR127" s="87"/>
      <c r="CS127" s="87"/>
      <c r="CT127" s="87"/>
      <c r="CU127" s="87"/>
      <c r="CV127" s="87"/>
      <c r="CW127" s="87"/>
      <c r="CX127" s="87"/>
    </row>
    <row r="128" spans="1:102" x14ac:dyDescent="0.3">
      <c r="A128" s="28">
        <v>30</v>
      </c>
      <c r="C128" s="62">
        <f>IF(A128&lt;='Eingabeblatt 1'!$D$18,C127+1,"")</f>
        <v>2048</v>
      </c>
      <c r="D128" s="63">
        <f>IF(A128&lt;='Eingabeblatt 1'!$D$18,D127+1,"")</f>
        <v>30</v>
      </c>
      <c r="E128" s="64">
        <f>IF(A128&lt;='Eingabeblatt 1'!$D$18,IF(D128='Eingabeblatt 1'!$D$34,-'Eingabeblatt 1'!$L$34*(1+'Eingabeblatt 1'!$J$34)^D128,IF(D128='Eingabeblatt 1'!$D$35,-'Eingabeblatt 1'!$L$35*(1+'Eingabeblatt 1'!$J$35)^D128,IF(D128='Eingabeblatt 1'!$D$36,-'Eingabeblatt 1'!$L$36*(1+'Eingabeblatt 1'!$J$36)^D128,0))),"")</f>
        <v>-18270697.776942592</v>
      </c>
      <c r="F128" s="64">
        <f t="shared" si="10"/>
        <v>-1338996.8199999998</v>
      </c>
      <c r="G128" s="65">
        <f>IF(A128&lt;='Eingabeblatt 1'!$D$18,IF(D128='Eingabeblatt 1'!$D$41,-('Eingabeblatt 1'!$L$40+'Eingabeblatt 1'!$L$41)*(1+'Eingabeblatt 1'!$J$40)^D128,-('Eingabeblatt 1'!$L$40)*(1+'Eingabeblatt 1'!$J$40)^D128),"")</f>
        <v>-633976.55443617376</v>
      </c>
      <c r="H128" s="66">
        <f>IF(A128&lt;='Eingabeblatt 1'!$D$18,H127*(1+'Eingabeblatt 1'!$J$42),"")</f>
        <v>-667274.03832015314</v>
      </c>
      <c r="I128" s="66">
        <f>IF(A128&lt;='Eingabeblatt 1'!$D$18,(-'Eingabeblatt 1'!$L$45*(1+'Eingabeblatt 1'!$J$45)^Ergebnis!D128)-('Eingabeblatt 1'!$L$46*(1+'Eingabeblatt 1'!$J$46)^Ergebnis!D128)-('Eingabeblatt 1'!$L$47*(1+'Eingabeblatt 1'!$J$47)^Ergebnis!D128),"")</f>
        <v>-283952.93328363984</v>
      </c>
      <c r="J128" s="67">
        <f>IF(A127&lt;='Eingabeblatt 1'!$D$18,'Eingabeblatt 1'!$D$51*(1+'Eingabeblatt 1'!$J$51)^Ergebnis!D128,"")</f>
        <v>0</v>
      </c>
      <c r="K128" s="68">
        <f t="shared" si="12"/>
        <v>0</v>
      </c>
      <c r="L128" s="68">
        <f>IF(D128&lt;='Eingabeblatt 1'!$D$18,(SUMIFS('Eingabeblatt 2'!$K$14:$K$53,'Eingabeblatt 2'!$E$14:$E$53,Ergebnis!D128)+SUMIFS('Eingabeblatt 2'!$K$14:$K$53,'Eingabeblatt 2'!$E$14:$E$53,Ergebnis!D108))*(1+'Eingabeblatt 1'!$J$34)^Ergebnis!D128,"")</f>
        <v>192518.392332524</v>
      </c>
      <c r="M128" s="373">
        <f>IF(A128&lt;='Eingabeblatt 1'!$D$18,SUM(G128:L128)+E128,"")</f>
        <v>-19663382.910650034</v>
      </c>
      <c r="N128" s="83">
        <f>IF(A128&lt;='Eingabeblatt 1'!$D$18,(E128+G128+I128+H128+J128+K128+L128)/(1+'Eingabeblatt 1'!$D$19)^D128,"")</f>
        <v>-6062588.0268629352</v>
      </c>
      <c r="O128" s="419">
        <f>IF(A128&lt;='Eingabeblatt 1'!$D$18,O127+N128,"")</f>
        <v>-82063762.473906413</v>
      </c>
      <c r="P128" s="89"/>
      <c r="Q128" s="89"/>
      <c r="R128" s="93">
        <f>(((40-D128)/40*$Q$98))*('Eingabeblatt 1'!$D$20)+$Q$98/40</f>
        <v>86310</v>
      </c>
      <c r="S128" s="93">
        <f>SUMIFS('Eingabeblatt 2'!I14:I37,'Eingabeblatt 2'!E14:E37,30)*(1+'Eingabeblatt 1'!J80)^Ergebnis!D128</f>
        <v>0</v>
      </c>
      <c r="T128" s="93">
        <f>(((30-D99)/30*$S$128))*('Eingabeblatt 1'!$D$20)+$S$128/30</f>
        <v>0</v>
      </c>
      <c r="U128" s="93"/>
      <c r="V128" s="93">
        <f>(((20-D109)/20*$U$118))*('Eingabeblatt 1'!$D$20)+$U$118/20</f>
        <v>548323.57999999996</v>
      </c>
      <c r="W128" s="93">
        <f>(SUMIFS('Eingabeblatt 2'!I14:I37,'Eingabeblatt 2'!E14:E37,10))*(1+'Eingabeblatt 1'!J80)^Ergebnis!D128</f>
        <v>5969180</v>
      </c>
      <c r="X128" s="97">
        <f>(((10-D99)/10*$W$128))*('Eingabeblatt 1'!$D$20)+$W$128/10</f>
        <v>704363.24</v>
      </c>
      <c r="Y128" s="97">
        <f t="shared" si="11"/>
        <v>1338996.8199999998</v>
      </c>
      <c r="Z128" s="89"/>
      <c r="AA128" s="89"/>
      <c r="AB128" s="89"/>
      <c r="AC128" s="89"/>
      <c r="AD128" s="89"/>
      <c r="AE128" s="89"/>
      <c r="AF128" s="89"/>
      <c r="AG128" s="90"/>
      <c r="AH128" s="90"/>
      <c r="AI128" s="90"/>
      <c r="AJ128" s="90"/>
      <c r="AK128" s="89"/>
      <c r="AL128" s="89"/>
      <c r="AM128" s="89"/>
      <c r="AN128" s="89"/>
      <c r="AO128" s="89"/>
      <c r="AP128" s="89"/>
      <c r="AQ128" s="89"/>
      <c r="AR128" s="89"/>
      <c r="AS128" s="89"/>
      <c r="AT128" s="89"/>
      <c r="AU128" s="89"/>
      <c r="AV128" s="89"/>
      <c r="AW128" s="89"/>
      <c r="AX128" s="89"/>
      <c r="AY128" s="87"/>
      <c r="AZ128" s="87"/>
      <c r="BA128" s="87"/>
      <c r="BB128" s="87"/>
      <c r="BC128" s="87"/>
      <c r="BD128" s="87"/>
      <c r="BE128" s="87"/>
      <c r="BF128" s="87"/>
      <c r="BG128" s="87"/>
      <c r="BH128" s="87"/>
      <c r="BI128" s="87"/>
      <c r="BJ128" s="87"/>
      <c r="BK128" s="87"/>
      <c r="BL128" s="87"/>
      <c r="BM128" s="87"/>
      <c r="BN128" s="87"/>
      <c r="BO128" s="87"/>
      <c r="BP128" s="87"/>
      <c r="BQ128" s="87"/>
      <c r="BR128" s="87"/>
      <c r="BS128" s="87"/>
      <c r="BT128" s="87"/>
      <c r="BU128" s="87"/>
      <c r="BV128" s="87"/>
      <c r="BW128" s="87"/>
      <c r="BX128" s="87"/>
      <c r="BY128" s="87"/>
      <c r="BZ128" s="87"/>
      <c r="CA128" s="87"/>
      <c r="CB128" s="87"/>
      <c r="CC128" s="87"/>
      <c r="CD128" s="87"/>
      <c r="CE128" s="87"/>
      <c r="CF128" s="87"/>
      <c r="CG128" s="87"/>
      <c r="CH128" s="87"/>
      <c r="CI128" s="87"/>
      <c r="CJ128" s="87"/>
      <c r="CK128" s="87"/>
      <c r="CL128" s="87"/>
      <c r="CM128" s="87"/>
      <c r="CN128" s="87"/>
      <c r="CO128" s="87"/>
      <c r="CP128" s="87"/>
      <c r="CQ128" s="87"/>
      <c r="CR128" s="87"/>
      <c r="CS128" s="87"/>
      <c r="CT128" s="87"/>
      <c r="CU128" s="87"/>
      <c r="CV128" s="87"/>
      <c r="CW128" s="87"/>
      <c r="CX128" s="87"/>
    </row>
    <row r="129" spans="1:102" x14ac:dyDescent="0.3">
      <c r="A129" s="28">
        <v>31</v>
      </c>
      <c r="C129" s="62">
        <f>IF(A129&lt;='Eingabeblatt 1'!$D$18,C128+1,"")</f>
        <v>2049</v>
      </c>
      <c r="D129" s="63">
        <f>IF(A129&lt;='Eingabeblatt 1'!$D$18,D128+1,"")</f>
        <v>31</v>
      </c>
      <c r="E129" s="64">
        <f>IF(A129&lt;='Eingabeblatt 1'!$D$18,IF(D129='Eingabeblatt 1'!$D$34,-'Eingabeblatt 1'!$L$34*(1+'Eingabeblatt 1'!$J$34)^D129,IF(D129='Eingabeblatt 1'!$D$35,-'Eingabeblatt 1'!$L$35*(1+'Eingabeblatt 1'!$J$35)^D129,IF(D129='Eingabeblatt 1'!$D$36,-'Eingabeblatt 1'!$L$36*(1+'Eingabeblatt 1'!$J$36)^D129,0))),"")</f>
        <v>0</v>
      </c>
      <c r="F129" s="64">
        <f t="shared" si="10"/>
        <v>-1316326.3399999999</v>
      </c>
      <c r="G129" s="65">
        <f>IF(A129&lt;='Eingabeblatt 1'!$D$18,IF(D129='Eingabeblatt 1'!$D$41,-('Eingabeblatt 1'!$L$40+'Eingabeblatt 1'!$L$41)*(1+'Eingabeblatt 1'!$J$40)^D129,-('Eingabeblatt 1'!$L$40)*(1+'Eingabeblatt 1'!$J$40)^D129),"")</f>
        <v>-646656.08552489709</v>
      </c>
      <c r="H129" s="66">
        <f>IF(A129&lt;='Eingabeblatt 1'!$D$18,H128*(1+'Eingabeblatt 1'!$J$42),"")</f>
        <v>-682287.7041823566</v>
      </c>
      <c r="I129" s="66">
        <f>IF(A129&lt;='Eingabeblatt 1'!$D$18,(-'Eingabeblatt 1'!$L$45*(1+'Eingabeblatt 1'!$J$45)^Ergebnis!D129)-('Eingabeblatt 1'!$L$46*(1+'Eingabeblatt 1'!$J$46)^Ergebnis!D129)-('Eingabeblatt 1'!$L$47*(1+'Eingabeblatt 1'!$J$47)^Ergebnis!D129),"")</f>
        <v>-286030.00113925518</v>
      </c>
      <c r="J129" s="67">
        <f>IF(A128&lt;='Eingabeblatt 1'!$D$18,'Eingabeblatt 1'!$D$51*(1+'Eingabeblatt 1'!$J$51)^Ergebnis!D129,"")</f>
        <v>0</v>
      </c>
      <c r="K129" s="68">
        <f t="shared" si="12"/>
        <v>0</v>
      </c>
      <c r="L129" s="68">
        <f>IF(D129&lt;='Eingabeblatt 1'!$D$18,(SUMIFS('Eingabeblatt 2'!$K$14:$K$53,'Eingabeblatt 2'!$E$14:$E$53,Ergebnis!D129))*(1+'Eingabeblatt 1'!$J$34)^Ergebnis!D129,"")</f>
        <v>0</v>
      </c>
      <c r="M129" s="373">
        <f>IF(A129&lt;='Eingabeblatt 1'!$D$18,SUM(G129:L129)+E129,"")</f>
        <v>-1614973.7908465089</v>
      </c>
      <c r="N129" s="83">
        <f>IF(A129&lt;='Eingabeblatt 1'!$D$18,(E129+G129+I129+H129+J129+K129+L129)/(1+'Eingabeblatt 1'!$D$19)^D129,"")</f>
        <v>-478775.5461594045</v>
      </c>
      <c r="O129" s="419">
        <f>IF(A129&lt;='Eingabeblatt 1'!$D$18,O128+N129,"")</f>
        <v>-82542538.020065814</v>
      </c>
      <c r="P129" s="89"/>
      <c r="Q129" s="89"/>
      <c r="R129" s="93">
        <f>(((40-D129)/40*$Q$98))*('Eingabeblatt 1'!$D$20)+$Q$98/40</f>
        <v>84871.5</v>
      </c>
      <c r="S129" s="93"/>
      <c r="T129" s="93">
        <f>(((30-D100)/30*$S$128))*('Eingabeblatt 1'!$D$20)+$S$128/30</f>
        <v>0</v>
      </c>
      <c r="U129" s="93"/>
      <c r="V129" s="93">
        <f>(((20-D110)/20*$U$118))*('Eingabeblatt 1'!$D$20)+$U$118/20</f>
        <v>539029.96</v>
      </c>
      <c r="W129" s="93"/>
      <c r="X129" s="97">
        <f>(((10-D100)/10*$W$128))*('Eingabeblatt 1'!$D$20)+$W$128/10</f>
        <v>692424.88</v>
      </c>
      <c r="Y129" s="97">
        <f t="shared" si="11"/>
        <v>1316326.3399999999</v>
      </c>
      <c r="Z129" s="89"/>
      <c r="AA129" s="89"/>
      <c r="AB129" s="89"/>
      <c r="AC129" s="89"/>
      <c r="AD129" s="89"/>
      <c r="AE129" s="89"/>
      <c r="AF129" s="89"/>
      <c r="AG129" s="90"/>
      <c r="AH129" s="90"/>
      <c r="AI129" s="90"/>
      <c r="AJ129" s="90"/>
      <c r="AK129" s="89"/>
      <c r="AL129" s="89"/>
      <c r="AM129" s="89"/>
      <c r="AN129" s="89"/>
      <c r="AO129" s="89"/>
      <c r="AP129" s="89"/>
      <c r="AQ129" s="89"/>
      <c r="AR129" s="89"/>
      <c r="AS129" s="89"/>
      <c r="AT129" s="89"/>
      <c r="AU129" s="89"/>
      <c r="AV129" s="89"/>
      <c r="AW129" s="89"/>
      <c r="AX129" s="89"/>
      <c r="AY129" s="87"/>
      <c r="AZ129" s="87"/>
      <c r="BA129" s="87"/>
      <c r="BB129" s="87"/>
      <c r="BC129" s="87"/>
      <c r="BD129" s="87"/>
      <c r="BE129" s="87"/>
      <c r="BF129" s="87"/>
      <c r="BG129" s="87"/>
      <c r="BH129" s="87"/>
      <c r="BI129" s="87"/>
      <c r="BJ129" s="87"/>
      <c r="BK129" s="87"/>
      <c r="BL129" s="87"/>
      <c r="BM129" s="87"/>
      <c r="BN129" s="87"/>
      <c r="BO129" s="87"/>
      <c r="BP129" s="87"/>
      <c r="BQ129" s="87"/>
      <c r="BR129" s="87"/>
      <c r="BS129" s="87"/>
      <c r="BT129" s="87"/>
      <c r="BU129" s="87"/>
      <c r="BV129" s="87"/>
      <c r="BW129" s="87"/>
      <c r="BX129" s="87"/>
      <c r="BY129" s="87"/>
      <c r="BZ129" s="87"/>
      <c r="CA129" s="87"/>
      <c r="CB129" s="87"/>
      <c r="CC129" s="87"/>
      <c r="CD129" s="87"/>
      <c r="CE129" s="87"/>
      <c r="CF129" s="87"/>
      <c r="CG129" s="87"/>
      <c r="CH129" s="87"/>
      <c r="CI129" s="87"/>
      <c r="CJ129" s="87"/>
      <c r="CK129" s="87"/>
      <c r="CL129" s="87"/>
      <c r="CM129" s="87"/>
      <c r="CN129" s="87"/>
      <c r="CO129" s="87"/>
      <c r="CP129" s="87"/>
      <c r="CQ129" s="87"/>
      <c r="CR129" s="87"/>
      <c r="CS129" s="87"/>
      <c r="CT129" s="87"/>
      <c r="CU129" s="87"/>
      <c r="CV129" s="87"/>
      <c r="CW129" s="87"/>
      <c r="CX129" s="87"/>
    </row>
    <row r="130" spans="1:102" x14ac:dyDescent="0.3">
      <c r="A130" s="28">
        <v>32</v>
      </c>
      <c r="C130" s="62">
        <f>IF(A130&lt;='Eingabeblatt 1'!$D$18,C129+1,"")</f>
        <v>2050</v>
      </c>
      <c r="D130" s="63">
        <f>IF(A130&lt;='Eingabeblatt 1'!$D$18,D129+1,"")</f>
        <v>32</v>
      </c>
      <c r="E130" s="64">
        <f>IF(A130&lt;='Eingabeblatt 1'!$D$18,IF(D130='Eingabeblatt 1'!$D$34,-'Eingabeblatt 1'!$L$34*(1+'Eingabeblatt 1'!$J$34)^D130,IF(D130='Eingabeblatt 1'!$D$35,-'Eingabeblatt 1'!$L$35*(1+'Eingabeblatt 1'!$J$35)^D130,IF(D130='Eingabeblatt 1'!$D$36,-'Eingabeblatt 1'!$L$36*(1+'Eingabeblatt 1'!$J$36)^D130,0))),"")</f>
        <v>0</v>
      </c>
      <c r="F130" s="64">
        <f t="shared" si="10"/>
        <v>-1293655.8599999999</v>
      </c>
      <c r="G130" s="65">
        <f>IF(A130&lt;='Eingabeblatt 1'!$D$18,IF(D130='Eingabeblatt 1'!$D$41,-('Eingabeblatt 1'!$L$40+'Eingabeblatt 1'!$L$41)*(1+'Eingabeblatt 1'!$J$40)^D130,-('Eingabeblatt 1'!$L$40)*(1+'Eingabeblatt 1'!$J$40)^D130),"")</f>
        <v>-659589.20723539509</v>
      </c>
      <c r="H130" s="66">
        <f>IF(A130&lt;='Eingabeblatt 1'!$D$18,H129*(1+'Eingabeblatt 1'!$J$42),"")</f>
        <v>-697639.17752645956</v>
      </c>
      <c r="I130" s="66">
        <f>IF(A130&lt;='Eingabeblatt 1'!$D$18,(-'Eingabeblatt 1'!$L$45*(1+'Eingabeblatt 1'!$J$45)^Ergebnis!D130)-('Eingabeblatt 1'!$L$46*(1+'Eingabeblatt 1'!$J$46)^Ergebnis!D130)-('Eingabeblatt 1'!$L$47*(1+'Eingabeblatt 1'!$J$47)^Ergebnis!D130),"")</f>
        <v>-288124.02736604074</v>
      </c>
      <c r="J130" s="67">
        <f>IF(A129&lt;='Eingabeblatt 1'!$D$18,'Eingabeblatt 1'!$D$51*(1+'Eingabeblatt 1'!$J$51)^Ergebnis!D130,"")</f>
        <v>0</v>
      </c>
      <c r="K130" s="68">
        <f t="shared" si="12"/>
        <v>0</v>
      </c>
      <c r="L130" s="68">
        <f>IF(D130&lt;='Eingabeblatt 1'!$D$18,(SUMIFS('Eingabeblatt 2'!$K$14:$K$53,'Eingabeblatt 2'!$E$14:$E$53,Ergebnis!D130))*(1+'Eingabeblatt 1'!$J$34)^Ergebnis!D130,"")</f>
        <v>0</v>
      </c>
      <c r="M130" s="373">
        <f>IF(A130&lt;='Eingabeblatt 1'!$D$18,SUM(G130:L130)+E130,"")</f>
        <v>-1645352.4121278953</v>
      </c>
      <c r="N130" s="83">
        <f>IF(A130&lt;='Eingabeblatt 1'!$D$18,(E130+G130+I130+H130+J130+K130+L130)/(1+'Eingabeblatt 1'!$D$19)^D130,"")</f>
        <v>-469020.76928081241</v>
      </c>
      <c r="O130" s="419">
        <f>IF(A130&lt;='Eingabeblatt 1'!$D$18,O129+N130,"")</f>
        <v>-83011558.78934662</v>
      </c>
      <c r="P130" s="89"/>
      <c r="Q130" s="89"/>
      <c r="R130" s="93">
        <f>(((40-D130)/40*$Q$98))*('Eingabeblatt 1'!$D$20)+$Q$98/40</f>
        <v>83433</v>
      </c>
      <c r="S130" s="93"/>
      <c r="T130" s="93">
        <f>(((30-D101)/30*$S$128))*('Eingabeblatt 1'!$D$20)+$S$128/30</f>
        <v>0</v>
      </c>
      <c r="U130" s="93"/>
      <c r="V130" s="93">
        <f>(((20-D111)/20*$U$118))*('Eingabeblatt 1'!$D$20)+$U$118/20</f>
        <v>529736.34</v>
      </c>
      <c r="W130" s="93"/>
      <c r="X130" s="97">
        <f>(((10-D101)/10*$W$128))*('Eingabeblatt 1'!$D$20)+$W$128/10</f>
        <v>680486.52</v>
      </c>
      <c r="Y130" s="97">
        <f t="shared" si="11"/>
        <v>1293655.8599999999</v>
      </c>
      <c r="Z130" s="89"/>
      <c r="AA130" s="89"/>
      <c r="AB130" s="89"/>
      <c r="AC130" s="89"/>
      <c r="AD130" s="89"/>
      <c r="AE130" s="89"/>
      <c r="AF130" s="89"/>
      <c r="AG130" s="90"/>
      <c r="AH130" s="90"/>
      <c r="AI130" s="90"/>
      <c r="AJ130" s="90"/>
      <c r="AK130" s="89"/>
      <c r="AL130" s="89"/>
      <c r="AM130" s="89"/>
      <c r="AN130" s="89"/>
      <c r="AO130" s="89"/>
      <c r="AP130" s="89"/>
      <c r="AQ130" s="89"/>
      <c r="AR130" s="89"/>
      <c r="AS130" s="89"/>
      <c r="AT130" s="89"/>
      <c r="AU130" s="89"/>
      <c r="AV130" s="89"/>
      <c r="AW130" s="89"/>
      <c r="AX130" s="89"/>
      <c r="AY130" s="87"/>
      <c r="AZ130" s="87"/>
      <c r="BA130" s="87"/>
      <c r="BB130" s="87"/>
      <c r="BC130" s="87"/>
      <c r="BD130" s="87"/>
      <c r="BE130" s="87"/>
      <c r="BF130" s="87"/>
      <c r="BG130" s="87"/>
      <c r="BH130" s="87"/>
      <c r="BI130" s="87"/>
      <c r="BJ130" s="87"/>
      <c r="BK130" s="87"/>
      <c r="BL130" s="87"/>
      <c r="BM130" s="87"/>
      <c r="BN130" s="87"/>
      <c r="BO130" s="87"/>
      <c r="BP130" s="87"/>
      <c r="BQ130" s="87"/>
      <c r="BR130" s="87"/>
      <c r="BS130" s="87"/>
      <c r="BT130" s="87"/>
      <c r="BU130" s="87"/>
      <c r="BV130" s="87"/>
      <c r="BW130" s="87"/>
      <c r="BX130" s="87"/>
      <c r="BY130" s="87"/>
      <c r="BZ130" s="87"/>
      <c r="CA130" s="87"/>
      <c r="CB130" s="87"/>
      <c r="CC130" s="87"/>
      <c r="CD130" s="87"/>
      <c r="CE130" s="87"/>
      <c r="CF130" s="87"/>
      <c r="CG130" s="87"/>
      <c r="CH130" s="87"/>
      <c r="CI130" s="87"/>
      <c r="CJ130" s="87"/>
      <c r="CK130" s="87"/>
      <c r="CL130" s="87"/>
      <c r="CM130" s="87"/>
      <c r="CN130" s="87"/>
      <c r="CO130" s="87"/>
      <c r="CP130" s="87"/>
      <c r="CQ130" s="87"/>
      <c r="CR130" s="87"/>
      <c r="CS130" s="87"/>
      <c r="CT130" s="87"/>
      <c r="CU130" s="87"/>
      <c r="CV130" s="87"/>
      <c r="CW130" s="87"/>
      <c r="CX130" s="87"/>
    </row>
    <row r="131" spans="1:102" x14ac:dyDescent="0.3">
      <c r="A131" s="28">
        <v>33</v>
      </c>
      <c r="C131" s="62">
        <f>IF(A131&lt;='Eingabeblatt 1'!$D$18,C130+1,"")</f>
        <v>2051</v>
      </c>
      <c r="D131" s="63">
        <f>IF(A131&lt;='Eingabeblatt 1'!$D$18,D130+1,"")</f>
        <v>33</v>
      </c>
      <c r="E131" s="64">
        <f>IF(A131&lt;='Eingabeblatt 1'!$D$18,IF(D131='Eingabeblatt 1'!$D$34,-'Eingabeblatt 1'!$L$34*(1+'Eingabeblatt 1'!$J$34)^D131,IF(D131='Eingabeblatt 1'!$D$35,-'Eingabeblatt 1'!$L$35*(1+'Eingabeblatt 1'!$J$35)^D131,IF(D131='Eingabeblatt 1'!$D$36,-'Eingabeblatt 1'!$L$36*(1+'Eingabeblatt 1'!$J$36)^D131,0))),"")</f>
        <v>0</v>
      </c>
      <c r="F131" s="64">
        <f t="shared" si="10"/>
        <v>-1270985.3799999999</v>
      </c>
      <c r="G131" s="65">
        <f>IF(A131&lt;='Eingabeblatt 1'!$D$18,IF(D131='Eingabeblatt 1'!$D$41,-('Eingabeblatt 1'!$L$40+'Eingabeblatt 1'!$L$41)*(1+'Eingabeblatt 1'!$J$40)^D131,-('Eingabeblatt 1'!$L$40)*(1+'Eingabeblatt 1'!$J$40)^D131),"")</f>
        <v>-672780.99138010305</v>
      </c>
      <c r="H131" s="66">
        <f>IF(A131&lt;='Eingabeblatt 1'!$D$18,H130*(1+'Eingabeblatt 1'!$J$42),"")</f>
        <v>-713336.05902080482</v>
      </c>
      <c r="I131" s="66">
        <f>IF(A131&lt;='Eingabeblatt 1'!$D$18,(-'Eingabeblatt 1'!$L$45*(1+'Eingabeblatt 1'!$J$45)^Ergebnis!D131)-('Eingabeblatt 1'!$L$46*(1+'Eingabeblatt 1'!$J$46)^Ergebnis!D131)-('Eingabeblatt 1'!$L$47*(1+'Eingabeblatt 1'!$J$47)^Ergebnis!D131),"")</f>
        <v>-290235.162486171</v>
      </c>
      <c r="J131" s="67">
        <f>IF(A130&lt;='Eingabeblatt 1'!$D$18,'Eingabeblatt 1'!$D$51*(1+'Eingabeblatt 1'!$J$51)^Ergebnis!D131,"")</f>
        <v>0</v>
      </c>
      <c r="K131" s="68">
        <f t="shared" si="12"/>
        <v>0</v>
      </c>
      <c r="L131" s="68">
        <f>IF(D131&lt;='Eingabeblatt 1'!$D$18,(SUMIFS('Eingabeblatt 2'!$K$14:$K$53,'Eingabeblatt 2'!$E$14:$E$53,Ergebnis!D131))*(1+'Eingabeblatt 1'!$J$34)^Ergebnis!D131,"")</f>
        <v>0</v>
      </c>
      <c r="M131" s="373">
        <f>IF(A131&lt;='Eingabeblatt 1'!$D$18,SUM(G131:L131)+E131,"")</f>
        <v>-1676352.212887079</v>
      </c>
      <c r="N131" s="83">
        <f>IF(A131&lt;='Eingabeblatt 1'!$D$18,(E131+G131+I131+H131+J131+K131+L131)/(1+'Eingabeblatt 1'!$D$19)^D131,"")</f>
        <v>-459478.37368040904</v>
      </c>
      <c r="O131" s="419">
        <f>IF(A131&lt;='Eingabeblatt 1'!$D$18,O130+N131,"")</f>
        <v>-83471037.163027033</v>
      </c>
      <c r="P131" s="89"/>
      <c r="Q131" s="89"/>
      <c r="R131" s="93">
        <f>(((40-D131)/40*$Q$98))*('Eingabeblatt 1'!$D$20)+$Q$98/40</f>
        <v>81994.5</v>
      </c>
      <c r="S131" s="93"/>
      <c r="T131" s="93">
        <f>(((30-D102)/30*$S$128))*('Eingabeblatt 1'!$D$20)+$S$128/30</f>
        <v>0</v>
      </c>
      <c r="U131" s="93"/>
      <c r="V131" s="93">
        <f>(((20-D112)/20*$U$118))*('Eingabeblatt 1'!$D$20)+$U$118/20</f>
        <v>520442.72</v>
      </c>
      <c r="W131" s="93"/>
      <c r="X131" s="97">
        <f>(((10-D102)/10*$W$128))*('Eingabeblatt 1'!$D$20)+$W$128/10</f>
        <v>668548.16</v>
      </c>
      <c r="Y131" s="97">
        <f t="shared" si="11"/>
        <v>1270985.3799999999</v>
      </c>
      <c r="Z131" s="89"/>
      <c r="AA131" s="89"/>
      <c r="AB131" s="89"/>
      <c r="AC131" s="89"/>
      <c r="AD131" s="89"/>
      <c r="AE131" s="89"/>
      <c r="AF131" s="89"/>
      <c r="AG131" s="90"/>
      <c r="AH131" s="90"/>
      <c r="AI131" s="90"/>
      <c r="AJ131" s="90"/>
      <c r="AK131" s="89"/>
      <c r="AL131" s="89"/>
      <c r="AM131" s="89"/>
      <c r="AN131" s="89"/>
      <c r="AO131" s="89"/>
      <c r="AP131" s="89"/>
      <c r="AQ131" s="89"/>
      <c r="AR131" s="89"/>
      <c r="AS131" s="89"/>
      <c r="AT131" s="89"/>
      <c r="AU131" s="89"/>
      <c r="AV131" s="89"/>
      <c r="AW131" s="89"/>
      <c r="AX131" s="89"/>
      <c r="AY131" s="87"/>
      <c r="AZ131" s="87"/>
      <c r="BA131" s="87"/>
      <c r="BB131" s="87"/>
      <c r="BC131" s="87"/>
      <c r="BD131" s="87"/>
      <c r="BE131" s="87"/>
      <c r="BF131" s="87"/>
      <c r="BG131" s="87"/>
      <c r="BH131" s="87"/>
      <c r="BI131" s="87"/>
      <c r="BJ131" s="87"/>
      <c r="BK131" s="87"/>
      <c r="BL131" s="87"/>
      <c r="BM131" s="87"/>
      <c r="BN131" s="87"/>
      <c r="BO131" s="87"/>
      <c r="BP131" s="87"/>
      <c r="BQ131" s="87"/>
      <c r="BR131" s="87"/>
      <c r="BS131" s="87"/>
      <c r="BT131" s="87"/>
      <c r="BU131" s="87"/>
      <c r="BV131" s="87"/>
      <c r="BW131" s="87"/>
      <c r="BX131" s="87"/>
      <c r="BY131" s="87"/>
      <c r="BZ131" s="87"/>
      <c r="CA131" s="87"/>
      <c r="CB131" s="87"/>
      <c r="CC131" s="87"/>
      <c r="CD131" s="87"/>
      <c r="CE131" s="87"/>
      <c r="CF131" s="87"/>
      <c r="CG131" s="87"/>
      <c r="CH131" s="87"/>
      <c r="CI131" s="87"/>
      <c r="CJ131" s="87"/>
      <c r="CK131" s="87"/>
      <c r="CL131" s="87"/>
      <c r="CM131" s="87"/>
      <c r="CN131" s="87"/>
      <c r="CO131" s="87"/>
      <c r="CP131" s="87"/>
      <c r="CQ131" s="87"/>
      <c r="CR131" s="87"/>
      <c r="CS131" s="87"/>
      <c r="CT131" s="87"/>
      <c r="CU131" s="87"/>
      <c r="CV131" s="87"/>
      <c r="CW131" s="87"/>
      <c r="CX131" s="87"/>
    </row>
    <row r="132" spans="1:102" x14ac:dyDescent="0.3">
      <c r="A132" s="28">
        <v>34</v>
      </c>
      <c r="C132" s="62">
        <f>IF(A132&lt;='Eingabeblatt 1'!$D$18,C131+1,"")</f>
        <v>2052</v>
      </c>
      <c r="D132" s="63">
        <f>IF(A132&lt;='Eingabeblatt 1'!$D$18,D131+1,"")</f>
        <v>34</v>
      </c>
      <c r="E132" s="64">
        <f>IF(A132&lt;='Eingabeblatt 1'!$D$18,IF(D132='Eingabeblatt 1'!$D$34,-'Eingabeblatt 1'!$L$34*(1+'Eingabeblatt 1'!$J$34)^D132,IF(D132='Eingabeblatt 1'!$D$35,-'Eingabeblatt 1'!$L$35*(1+'Eingabeblatt 1'!$J$35)^D132,IF(D132='Eingabeblatt 1'!$D$36,-'Eingabeblatt 1'!$L$36*(1+'Eingabeblatt 1'!$J$36)^D132,0))),"")</f>
        <v>0</v>
      </c>
      <c r="F132" s="64">
        <f t="shared" si="10"/>
        <v>-1248314.8999999999</v>
      </c>
      <c r="G132" s="65">
        <f>IF(A132&lt;='Eingabeblatt 1'!$D$18,IF(D132='Eingabeblatt 1'!$D$41,-('Eingabeblatt 1'!$L$40+'Eingabeblatt 1'!$L$41)*(1+'Eingabeblatt 1'!$J$40)^D132,-('Eingabeblatt 1'!$L$40)*(1+'Eingabeblatt 1'!$J$40)^D132),"")</f>
        <v>-686236.61120770511</v>
      </c>
      <c r="H132" s="66">
        <f>IF(A132&lt;='Eingabeblatt 1'!$D$18,H131*(1+'Eingabeblatt 1'!$J$42),"")</f>
        <v>-729386.12034877285</v>
      </c>
      <c r="I132" s="66">
        <f>IF(A132&lt;='Eingabeblatt 1'!$D$18,(-'Eingabeblatt 1'!$L$45*(1+'Eingabeblatt 1'!$J$45)^Ergebnis!D132)-('Eingabeblatt 1'!$L$46*(1+'Eingabeblatt 1'!$J$46)^Ergebnis!D132)-('Eingabeblatt 1'!$L$47*(1+'Eingabeblatt 1'!$J$47)^Ergebnis!D132),"")</f>
        <v>-292363.55843173491</v>
      </c>
      <c r="J132" s="67">
        <f>IF(A131&lt;='Eingabeblatt 1'!$D$18,'Eingabeblatt 1'!$D$51*(1+'Eingabeblatt 1'!$J$51)^Ergebnis!D132,"")</f>
        <v>0</v>
      </c>
      <c r="K132" s="68">
        <f t="shared" si="12"/>
        <v>0</v>
      </c>
      <c r="L132" s="68">
        <f>IF(D132&lt;='Eingabeblatt 1'!$D$18,(SUMIFS('Eingabeblatt 2'!$K$14:$K$53,'Eingabeblatt 2'!$E$14:$E$53,Ergebnis!D132))*(1+'Eingabeblatt 1'!$J$34)^Ergebnis!D132,"")</f>
        <v>0</v>
      </c>
      <c r="M132" s="373">
        <f>IF(A132&lt;='Eingabeblatt 1'!$D$18,SUM(G132:L132)+E132,"")</f>
        <v>-1707986.2899882128</v>
      </c>
      <c r="N132" s="83">
        <f>IF(A132&lt;='Eingabeblatt 1'!$D$18,(E132+G132+I132+H132+J132+K132+L132)/(1+'Eingabeblatt 1'!$D$19)^D132,"")</f>
        <v>-450143.35566004633</v>
      </c>
      <c r="O132" s="419">
        <f>IF(A132&lt;='Eingabeblatt 1'!$D$18,O131+N132,"")</f>
        <v>-83921180.518687084</v>
      </c>
      <c r="P132" s="89"/>
      <c r="Q132" s="89"/>
      <c r="R132" s="93">
        <f>(((40-D132)/40*$Q$98))*('Eingabeblatt 1'!$D$20)+$Q$98/40</f>
        <v>80556</v>
      </c>
      <c r="S132" s="93"/>
      <c r="T132" s="93">
        <f>(((30-D103)/30*$S$128))*('Eingabeblatt 1'!$D$20)+$S$128/30</f>
        <v>0</v>
      </c>
      <c r="U132" s="93"/>
      <c r="V132" s="93">
        <f>(((20-D113)/20*$U$118))*('Eingabeblatt 1'!$D$20)+$U$118/20</f>
        <v>511149.1</v>
      </c>
      <c r="W132" s="93"/>
      <c r="X132" s="97">
        <f>(((10-D103)/10*$W$128))*('Eingabeblatt 1'!$D$20)+$W$128/10</f>
        <v>656609.80000000005</v>
      </c>
      <c r="Y132" s="97">
        <f t="shared" si="11"/>
        <v>1248314.8999999999</v>
      </c>
      <c r="Z132" s="89"/>
      <c r="AA132" s="89"/>
      <c r="AB132" s="89"/>
      <c r="AC132" s="89"/>
      <c r="AD132" s="89"/>
      <c r="AE132" s="89"/>
      <c r="AF132" s="89"/>
      <c r="AG132" s="90"/>
      <c r="AH132" s="90"/>
      <c r="AI132" s="90"/>
      <c r="AJ132" s="90"/>
      <c r="AK132" s="89"/>
      <c r="AL132" s="89"/>
      <c r="AM132" s="89"/>
      <c r="AN132" s="89"/>
      <c r="AO132" s="89"/>
      <c r="AP132" s="89"/>
      <c r="AQ132" s="89"/>
      <c r="AR132" s="89"/>
      <c r="AS132" s="89"/>
      <c r="AT132" s="89"/>
      <c r="AU132" s="89"/>
      <c r="AV132" s="89"/>
      <c r="AW132" s="89"/>
      <c r="AX132" s="89"/>
      <c r="AY132" s="87"/>
      <c r="AZ132" s="87"/>
      <c r="BA132" s="87"/>
      <c r="BB132" s="87"/>
      <c r="BC132" s="87"/>
      <c r="BD132" s="87"/>
      <c r="BE132" s="87"/>
      <c r="BF132" s="87"/>
      <c r="BG132" s="87"/>
      <c r="BH132" s="87"/>
      <c r="BI132" s="87"/>
      <c r="BJ132" s="87"/>
      <c r="BK132" s="87"/>
      <c r="BL132" s="87"/>
      <c r="BM132" s="87"/>
      <c r="BN132" s="87"/>
      <c r="BO132" s="87"/>
      <c r="BP132" s="87"/>
      <c r="BQ132" s="87"/>
      <c r="BR132" s="87"/>
      <c r="BS132" s="87"/>
      <c r="BT132" s="87"/>
      <c r="BU132" s="87"/>
      <c r="BV132" s="87"/>
      <c r="BW132" s="87"/>
      <c r="BX132" s="87"/>
      <c r="BY132" s="87"/>
      <c r="BZ132" s="87"/>
      <c r="CA132" s="87"/>
      <c r="CB132" s="87"/>
      <c r="CC132" s="87"/>
      <c r="CD132" s="87"/>
      <c r="CE132" s="87"/>
      <c r="CF132" s="87"/>
      <c r="CG132" s="87"/>
      <c r="CH132" s="87"/>
      <c r="CI132" s="87"/>
      <c r="CJ132" s="87"/>
      <c r="CK132" s="87"/>
      <c r="CL132" s="87"/>
      <c r="CM132" s="87"/>
      <c r="CN132" s="87"/>
      <c r="CO132" s="87"/>
      <c r="CP132" s="87"/>
      <c r="CQ132" s="87"/>
      <c r="CR132" s="87"/>
      <c r="CS132" s="87"/>
      <c r="CT132" s="87"/>
      <c r="CU132" s="87"/>
      <c r="CV132" s="87"/>
      <c r="CW132" s="87"/>
      <c r="CX132" s="87"/>
    </row>
    <row r="133" spans="1:102" x14ac:dyDescent="0.3">
      <c r="A133" s="28">
        <v>35</v>
      </c>
      <c r="C133" s="62">
        <f>IF(A133&lt;='Eingabeblatt 1'!$D$18,C132+1,"")</f>
        <v>2053</v>
      </c>
      <c r="D133" s="63">
        <f>IF(A133&lt;='Eingabeblatt 1'!$D$18,D132+1,"")</f>
        <v>35</v>
      </c>
      <c r="E133" s="64">
        <f>IF(A133&lt;='Eingabeblatt 1'!$D$18,IF(D133='Eingabeblatt 1'!$D$34,-'Eingabeblatt 1'!$L$34*(1+'Eingabeblatt 1'!$J$34)^D133,IF(D133='Eingabeblatt 1'!$D$35,-'Eingabeblatt 1'!$L$35*(1+'Eingabeblatt 1'!$J$35)^D133,IF(D133='Eingabeblatt 1'!$D$36,-'Eingabeblatt 1'!$L$36*(1+'Eingabeblatt 1'!$J$36)^D133,0))),"")</f>
        <v>0</v>
      </c>
      <c r="F133" s="64">
        <f t="shared" si="10"/>
        <v>-1225644.42</v>
      </c>
      <c r="G133" s="65">
        <f>IF(A133&lt;='Eingabeblatt 1'!$D$18,IF(D133='Eingabeblatt 1'!$D$41,-('Eingabeblatt 1'!$L$40+'Eingabeblatt 1'!$L$41)*(1+'Eingabeblatt 1'!$J$40)^D133,-('Eingabeblatt 1'!$L$40)*(1+'Eingabeblatt 1'!$J$40)^D133),"")</f>
        <v>-699961.34343185916</v>
      </c>
      <c r="H133" s="66">
        <f>IF(A133&lt;='Eingabeblatt 1'!$D$18,H132*(1+'Eingabeblatt 1'!$J$42),"")</f>
        <v>-745797.30805662018</v>
      </c>
      <c r="I133" s="66">
        <f>IF(A133&lt;='Eingabeblatt 1'!$D$18,(-'Eingabeblatt 1'!$L$45*(1+'Eingabeblatt 1'!$J$45)^Ergebnis!D133)-('Eingabeblatt 1'!$L$46*(1+'Eingabeblatt 1'!$J$46)^Ergebnis!D133)-('Eingabeblatt 1'!$L$47*(1+'Eingabeblatt 1'!$J$47)^Ergebnis!D133),"")</f>
        <v>-294509.36855835805</v>
      </c>
      <c r="J133" s="67">
        <f>IF(A132&lt;='Eingabeblatt 1'!$D$18,'Eingabeblatt 1'!$D$51*(1+'Eingabeblatt 1'!$J$51)^Ergebnis!D133,"")</f>
        <v>0</v>
      </c>
      <c r="K133" s="68">
        <f t="shared" si="12"/>
        <v>0</v>
      </c>
      <c r="L133" s="68">
        <f>IF(D133&lt;='Eingabeblatt 1'!$D$18,(SUMIFS('Eingabeblatt 2'!$K$14:$K$53,'Eingabeblatt 2'!$E$14:$E$53,Ergebnis!D133))*(1+'Eingabeblatt 1'!$J$34)^Ergebnis!D133,"")</f>
        <v>0</v>
      </c>
      <c r="M133" s="373">
        <f>IF(A133&lt;='Eingabeblatt 1'!$D$18,SUM(G133:L133)+E133,"")</f>
        <v>-1740268.0200468372</v>
      </c>
      <c r="N133" s="83">
        <f>IF(A133&lt;='Eingabeblatt 1'!$D$18,(E133+G133+I133+H133+J133+K133+L133)/(1+'Eingabeblatt 1'!$D$19)^D133,"")</f>
        <v>-441010.83949181915</v>
      </c>
      <c r="O133" s="419">
        <f>IF(A133&lt;='Eingabeblatt 1'!$D$18,O132+N133,"")</f>
        <v>-84362191.358178899</v>
      </c>
      <c r="P133" s="89"/>
      <c r="Q133" s="89"/>
      <c r="R133" s="93">
        <f>(((40-D133)/40*$Q$98))*('Eingabeblatt 1'!$D$20)+$Q$98/40</f>
        <v>79117.5</v>
      </c>
      <c r="S133" s="93"/>
      <c r="T133" s="93">
        <f>(((30-D104)/30*$S$128))*('Eingabeblatt 1'!$D$20)+$S$128/30</f>
        <v>0</v>
      </c>
      <c r="U133" s="93"/>
      <c r="V133" s="93">
        <f>(((20-D114)/20*$U$118))*('Eingabeblatt 1'!$D$20)+$U$118/20</f>
        <v>501855.48</v>
      </c>
      <c r="W133" s="93"/>
      <c r="X133" s="97">
        <f>(((10-D104)/10*$W$128))*('Eingabeblatt 1'!$D$20)+$W$128/10</f>
        <v>644671.43999999994</v>
      </c>
      <c r="Y133" s="97">
        <f t="shared" si="11"/>
        <v>1225644.42</v>
      </c>
      <c r="Z133" s="89"/>
      <c r="AA133" s="89"/>
      <c r="AB133" s="89"/>
      <c r="AC133" s="89"/>
      <c r="AD133" s="89"/>
      <c r="AE133" s="89"/>
      <c r="AF133" s="89"/>
      <c r="AG133" s="90"/>
      <c r="AH133" s="90"/>
      <c r="AI133" s="90"/>
      <c r="AJ133" s="90"/>
      <c r="AK133" s="89"/>
      <c r="AL133" s="89"/>
      <c r="AM133" s="89"/>
      <c r="AN133" s="89"/>
      <c r="AO133" s="89"/>
      <c r="AP133" s="89"/>
      <c r="AQ133" s="89"/>
      <c r="AR133" s="89"/>
      <c r="AS133" s="89"/>
      <c r="AT133" s="89"/>
      <c r="AU133" s="89"/>
      <c r="AV133" s="89"/>
      <c r="AW133" s="89"/>
      <c r="AX133" s="89"/>
      <c r="AY133" s="87"/>
      <c r="AZ133" s="87"/>
      <c r="BA133" s="87"/>
      <c r="BB133" s="87"/>
      <c r="BC133" s="87"/>
      <c r="BD133" s="87"/>
      <c r="BE133" s="87"/>
      <c r="BF133" s="87"/>
      <c r="BG133" s="87"/>
      <c r="BH133" s="87"/>
      <c r="BI133" s="87"/>
      <c r="BJ133" s="87"/>
      <c r="BK133" s="87"/>
      <c r="BL133" s="87"/>
      <c r="BM133" s="87"/>
      <c r="BN133" s="87"/>
      <c r="BO133" s="87"/>
      <c r="BP133" s="87"/>
      <c r="BQ133" s="87"/>
      <c r="BR133" s="87"/>
      <c r="BS133" s="87"/>
      <c r="BT133" s="87"/>
      <c r="BU133" s="87"/>
      <c r="BV133" s="87"/>
      <c r="BW133" s="87"/>
      <c r="BX133" s="87"/>
      <c r="BY133" s="87"/>
      <c r="BZ133" s="87"/>
      <c r="CA133" s="87"/>
      <c r="CB133" s="87"/>
      <c r="CC133" s="87"/>
      <c r="CD133" s="87"/>
      <c r="CE133" s="87"/>
      <c r="CF133" s="87"/>
      <c r="CG133" s="87"/>
      <c r="CH133" s="87"/>
      <c r="CI133" s="87"/>
      <c r="CJ133" s="87"/>
      <c r="CK133" s="87"/>
      <c r="CL133" s="87"/>
      <c r="CM133" s="87"/>
      <c r="CN133" s="87"/>
      <c r="CO133" s="87"/>
      <c r="CP133" s="87"/>
      <c r="CQ133" s="87"/>
      <c r="CR133" s="87"/>
      <c r="CS133" s="87"/>
      <c r="CT133" s="87"/>
      <c r="CU133" s="87"/>
      <c r="CV133" s="87"/>
      <c r="CW133" s="87"/>
      <c r="CX133" s="87"/>
    </row>
    <row r="134" spans="1:102" x14ac:dyDescent="0.3">
      <c r="A134" s="28">
        <v>36</v>
      </c>
      <c r="C134" s="62">
        <f>IF(A134&lt;='Eingabeblatt 1'!$D$18,C133+1,"")</f>
        <v>2054</v>
      </c>
      <c r="D134" s="63">
        <f>IF(A134&lt;='Eingabeblatt 1'!$D$18,D133+1,"")</f>
        <v>36</v>
      </c>
      <c r="E134" s="64">
        <f>IF(A134&lt;='Eingabeblatt 1'!$D$18,IF(D134='Eingabeblatt 1'!$D$34,-'Eingabeblatt 1'!$L$34*(1+'Eingabeblatt 1'!$J$34)^D134,IF(D134='Eingabeblatt 1'!$D$35,-'Eingabeblatt 1'!$L$35*(1+'Eingabeblatt 1'!$J$35)^D134,IF(D134='Eingabeblatt 1'!$D$36,-'Eingabeblatt 1'!$L$36*(1+'Eingabeblatt 1'!$J$36)^D134,0))),"")</f>
        <v>0</v>
      </c>
      <c r="F134" s="64">
        <f t="shared" si="10"/>
        <v>-1202973.94</v>
      </c>
      <c r="G134" s="65">
        <f>IF(A134&lt;='Eingabeblatt 1'!$D$18,IF(D134='Eingabeblatt 1'!$D$41,-('Eingabeblatt 1'!$L$40+'Eingabeblatt 1'!$L$41)*(1+'Eingabeblatt 1'!$J$40)^D134,-('Eingabeblatt 1'!$L$40)*(1+'Eingabeblatt 1'!$J$40)^D134),"")</f>
        <v>-713960.5703004963</v>
      </c>
      <c r="H134" s="66">
        <f>IF(A134&lt;='Eingabeblatt 1'!$D$18,H133*(1+'Eingabeblatt 1'!$J$42),"")</f>
        <v>-762577.74748789414</v>
      </c>
      <c r="I134" s="66">
        <f>IF(A134&lt;='Eingabeblatt 1'!$D$18,(-'Eingabeblatt 1'!$L$45*(1+'Eingabeblatt 1'!$J$45)^Ergebnis!D134)-('Eingabeblatt 1'!$L$46*(1+'Eingabeblatt 1'!$J$46)^Ergebnis!D134)-('Eingabeblatt 1'!$L$47*(1+'Eingabeblatt 1'!$J$47)^Ergebnis!D134),"")</f>
        <v>-296672.74765895889</v>
      </c>
      <c r="J134" s="67">
        <f>IF(A133&lt;='Eingabeblatt 1'!$D$18,'Eingabeblatt 1'!$D$51*(1+'Eingabeblatt 1'!$J$51)^Ergebnis!D134,"")</f>
        <v>0</v>
      </c>
      <c r="K134" s="68">
        <f t="shared" si="12"/>
        <v>0</v>
      </c>
      <c r="L134" s="68">
        <f>IF(D134&lt;='Eingabeblatt 1'!$D$18,(SUMIFS('Eingabeblatt 2'!$K$14:$K$53,'Eingabeblatt 2'!$E$14:$E$53,Ergebnis!D134))*(1+'Eingabeblatt 1'!$J$34)^Ergebnis!D134,"")</f>
        <v>0</v>
      </c>
      <c r="M134" s="373">
        <f>IF(A134&lt;='Eingabeblatt 1'!$D$18,SUM(G134:L134)+E134,"")</f>
        <v>-1773211.0654473493</v>
      </c>
      <c r="N134" s="83">
        <f>IF(A134&lt;='Eingabeblatt 1'!$D$18,(E134+G134+I134+H134+J134+K134+L134)/(1+'Eingabeblatt 1'!$D$19)^D134,"")</f>
        <v>-432076.07389344269</v>
      </c>
      <c r="O134" s="419">
        <f>IF(A134&lt;='Eingabeblatt 1'!$D$18,O133+N134,"")</f>
        <v>-84794267.432072341</v>
      </c>
      <c r="P134" s="89"/>
      <c r="Q134" s="89"/>
      <c r="R134" s="93">
        <f>(((40-D134)/40*$Q$98))*('Eingabeblatt 1'!$D$20)+$Q$98/40</f>
        <v>77679</v>
      </c>
      <c r="S134" s="93"/>
      <c r="T134" s="93">
        <f>(((30-D105)/30*$S$128))*('Eingabeblatt 1'!$D$20)+$S$128/30</f>
        <v>0</v>
      </c>
      <c r="U134" s="93"/>
      <c r="V134" s="93">
        <f>(((20-D115)/20*$U$118))*('Eingabeblatt 1'!$D$20)+$U$118/20</f>
        <v>492561.86</v>
      </c>
      <c r="W134" s="93"/>
      <c r="X134" s="97">
        <f>(((10-D105)/10*$W$128))*('Eingabeblatt 1'!$D$20)+$W$128/10</f>
        <v>632733.07999999996</v>
      </c>
      <c r="Y134" s="97">
        <f t="shared" si="11"/>
        <v>1202973.94</v>
      </c>
      <c r="Z134" s="89"/>
      <c r="AA134" s="89"/>
      <c r="AB134" s="89"/>
      <c r="AC134" s="89"/>
      <c r="AD134" s="89"/>
      <c r="AE134" s="89"/>
      <c r="AF134" s="89"/>
      <c r="AG134" s="90"/>
      <c r="AH134" s="90"/>
      <c r="AI134" s="90"/>
      <c r="AJ134" s="90"/>
      <c r="AK134" s="89"/>
      <c r="AL134" s="89"/>
      <c r="AM134" s="89"/>
      <c r="AN134" s="89"/>
      <c r="AO134" s="89"/>
      <c r="AP134" s="89"/>
      <c r="AQ134" s="89"/>
      <c r="AR134" s="89"/>
      <c r="AS134" s="89"/>
      <c r="AT134" s="89"/>
      <c r="AU134" s="89"/>
      <c r="AV134" s="89"/>
      <c r="AW134" s="89"/>
      <c r="AX134" s="89"/>
      <c r="AY134" s="87"/>
      <c r="AZ134" s="87"/>
      <c r="BA134" s="87"/>
      <c r="BB134" s="87"/>
      <c r="BC134" s="87"/>
      <c r="BD134" s="87"/>
      <c r="BE134" s="87"/>
      <c r="BF134" s="87"/>
      <c r="BG134" s="87"/>
      <c r="BH134" s="87"/>
      <c r="BI134" s="87"/>
      <c r="BJ134" s="87"/>
      <c r="BK134" s="87"/>
      <c r="BL134" s="87"/>
      <c r="BM134" s="87"/>
      <c r="BN134" s="87"/>
      <c r="BO134" s="87"/>
      <c r="BP134" s="87"/>
      <c r="BQ134" s="87"/>
      <c r="BR134" s="87"/>
      <c r="BS134" s="87"/>
      <c r="BT134" s="87"/>
      <c r="BU134" s="87"/>
      <c r="BV134" s="87"/>
      <c r="BW134" s="87"/>
      <c r="BX134" s="87"/>
      <c r="BY134" s="87"/>
      <c r="BZ134" s="87"/>
      <c r="CA134" s="87"/>
      <c r="CB134" s="87"/>
      <c r="CC134" s="87"/>
      <c r="CD134" s="87"/>
      <c r="CE134" s="87"/>
      <c r="CF134" s="87"/>
      <c r="CG134" s="87"/>
      <c r="CH134" s="87"/>
      <c r="CI134" s="87"/>
      <c r="CJ134" s="87"/>
      <c r="CK134" s="87"/>
      <c r="CL134" s="87"/>
      <c r="CM134" s="87"/>
      <c r="CN134" s="87"/>
      <c r="CO134" s="87"/>
      <c r="CP134" s="87"/>
      <c r="CQ134" s="87"/>
      <c r="CR134" s="87"/>
      <c r="CS134" s="87"/>
      <c r="CT134" s="87"/>
      <c r="CU134" s="87"/>
      <c r="CV134" s="87"/>
      <c r="CW134" s="87"/>
      <c r="CX134" s="87"/>
    </row>
    <row r="135" spans="1:102" x14ac:dyDescent="0.3">
      <c r="A135" s="28">
        <v>37</v>
      </c>
      <c r="C135" s="62">
        <f>IF(A135&lt;='Eingabeblatt 1'!$D$18,C134+1,"")</f>
        <v>2055</v>
      </c>
      <c r="D135" s="63">
        <f>IF(A135&lt;='Eingabeblatt 1'!$D$18,D134+1,"")</f>
        <v>37</v>
      </c>
      <c r="E135" s="64">
        <f>IF(A135&lt;='Eingabeblatt 1'!$D$18,IF(D135='Eingabeblatt 1'!$D$34,-'Eingabeblatt 1'!$L$34*(1+'Eingabeblatt 1'!$J$34)^D135,IF(D135='Eingabeblatt 1'!$D$35,-'Eingabeblatt 1'!$L$35*(1+'Eingabeblatt 1'!$J$35)^D135,IF(D135='Eingabeblatt 1'!$D$36,-'Eingabeblatt 1'!$L$36*(1+'Eingabeblatt 1'!$J$36)^D135,0))),"")</f>
        <v>0</v>
      </c>
      <c r="F135" s="64">
        <f t="shared" si="10"/>
        <v>-1180303.46</v>
      </c>
      <c r="G135" s="65">
        <f>IF(A135&lt;='Eingabeblatt 1'!$D$18,IF(D135='Eingabeblatt 1'!$D$41,-('Eingabeblatt 1'!$L$40+'Eingabeblatt 1'!$L$41)*(1+'Eingabeblatt 1'!$J$40)^D135,-('Eingabeblatt 1'!$L$40)*(1+'Eingabeblatt 1'!$J$40)^D135),"")</f>
        <v>-728239.78170650627</v>
      </c>
      <c r="H135" s="66">
        <f>IF(A135&lt;='Eingabeblatt 1'!$D$18,H134*(1+'Eingabeblatt 1'!$J$42),"")</f>
        <v>-779735.74680637172</v>
      </c>
      <c r="I135" s="66">
        <f>IF(A135&lt;='Eingabeblatt 1'!$D$18,(-'Eingabeblatt 1'!$L$45*(1+'Eingabeblatt 1'!$J$45)^Ergebnis!D135)-('Eingabeblatt 1'!$L$46*(1+'Eingabeblatt 1'!$J$46)^Ergebnis!D135)-('Eingabeblatt 1'!$L$47*(1+'Eingabeblatt 1'!$J$47)^Ergebnis!D135),"")</f>
        <v>-298853.85197764082</v>
      </c>
      <c r="J135" s="67">
        <f>IF(A134&lt;='Eingabeblatt 1'!$D$18,'Eingabeblatt 1'!$D$51*(1+'Eingabeblatt 1'!$J$51)^Ergebnis!D135,"")</f>
        <v>0</v>
      </c>
      <c r="K135" s="68">
        <f t="shared" si="12"/>
        <v>0</v>
      </c>
      <c r="L135" s="68">
        <f>IF(D135&lt;='Eingabeblatt 1'!$D$18,(SUMIFS('Eingabeblatt 2'!$K$14:$K$53,'Eingabeblatt 2'!$E$14:$E$53,Ergebnis!D135))*(1+'Eingabeblatt 1'!$J$34)^Ergebnis!D135,"")</f>
        <v>0</v>
      </c>
      <c r="M135" s="373">
        <f>IF(A135&lt;='Eingabeblatt 1'!$D$18,SUM(G135:L135)+E135,"")</f>
        <v>-1806829.3804905186</v>
      </c>
      <c r="N135" s="83">
        <f>IF(A135&lt;='Eingabeblatt 1'!$D$18,(E135+G135+I135+H135+J135+K135+L135)/(1+'Eingabeblatt 1'!$D$19)^D135,"")</f>
        <v>-423334.42860660452</v>
      </c>
      <c r="O135" s="419">
        <f>IF(A135&lt;='Eingabeblatt 1'!$D$18,O134+N135,"")</f>
        <v>-85217601.860678941</v>
      </c>
      <c r="P135" s="89"/>
      <c r="Q135" s="89"/>
      <c r="R135" s="93">
        <f>(((40-D135)/40*$Q$98))*('Eingabeblatt 1'!$D$20)+$Q$98/40</f>
        <v>76240.5</v>
      </c>
      <c r="S135" s="93"/>
      <c r="T135" s="93">
        <f>(((30-D106)/30*$S$128))*('Eingabeblatt 1'!$D$20)+$S$128/30</f>
        <v>0</v>
      </c>
      <c r="U135" s="93"/>
      <c r="V135" s="93">
        <f>(((20-D116)/20*$U$118))*('Eingabeblatt 1'!$D$20)+$U$118/20</f>
        <v>483268.24</v>
      </c>
      <c r="W135" s="93"/>
      <c r="X135" s="97">
        <f>(((10-D106)/10*$W$128))*('Eingabeblatt 1'!$D$20)+$W$128/10</f>
        <v>620794.72</v>
      </c>
      <c r="Y135" s="97">
        <f t="shared" si="11"/>
        <v>1180303.46</v>
      </c>
      <c r="Z135" s="89"/>
      <c r="AA135" s="89"/>
      <c r="AB135" s="89"/>
      <c r="AC135" s="89"/>
      <c r="AD135" s="89"/>
      <c r="AE135" s="89"/>
      <c r="AF135" s="89"/>
      <c r="AG135" s="90"/>
      <c r="AH135" s="90"/>
      <c r="AI135" s="90"/>
      <c r="AJ135" s="90"/>
      <c r="AK135" s="89"/>
      <c r="AL135" s="89"/>
      <c r="AM135" s="89"/>
      <c r="AN135" s="89"/>
      <c r="AO135" s="89"/>
      <c r="AP135" s="89"/>
      <c r="AQ135" s="89"/>
      <c r="AR135" s="89"/>
      <c r="AS135" s="89"/>
      <c r="AT135" s="89"/>
      <c r="AU135" s="89"/>
      <c r="AV135" s="89"/>
      <c r="AW135" s="89"/>
      <c r="AX135" s="89"/>
      <c r="AY135" s="87"/>
      <c r="AZ135" s="87"/>
      <c r="BA135" s="87"/>
      <c r="BB135" s="87"/>
      <c r="BC135" s="87"/>
      <c r="BD135" s="87"/>
      <c r="BE135" s="87"/>
      <c r="BF135" s="87"/>
      <c r="BG135" s="87"/>
      <c r="BH135" s="87"/>
      <c r="BI135" s="87"/>
      <c r="BJ135" s="87"/>
      <c r="BK135" s="87"/>
      <c r="BL135" s="87"/>
      <c r="BM135" s="87"/>
      <c r="BN135" s="87"/>
      <c r="BO135" s="87"/>
      <c r="BP135" s="87"/>
      <c r="BQ135" s="87"/>
      <c r="BR135" s="87"/>
      <c r="BS135" s="87"/>
      <c r="BT135" s="87"/>
      <c r="BU135" s="87"/>
      <c r="BV135" s="87"/>
      <c r="BW135" s="87"/>
      <c r="BX135" s="87"/>
      <c r="BY135" s="87"/>
      <c r="BZ135" s="87"/>
      <c r="CA135" s="87"/>
      <c r="CB135" s="87"/>
      <c r="CC135" s="87"/>
      <c r="CD135" s="87"/>
      <c r="CE135" s="87"/>
      <c r="CF135" s="87"/>
      <c r="CG135" s="87"/>
      <c r="CH135" s="87"/>
      <c r="CI135" s="87"/>
      <c r="CJ135" s="87"/>
      <c r="CK135" s="87"/>
      <c r="CL135" s="87"/>
      <c r="CM135" s="87"/>
      <c r="CN135" s="87"/>
      <c r="CO135" s="87"/>
      <c r="CP135" s="87"/>
      <c r="CQ135" s="87"/>
      <c r="CR135" s="87"/>
      <c r="CS135" s="87"/>
      <c r="CT135" s="87"/>
      <c r="CU135" s="87"/>
      <c r="CV135" s="87"/>
      <c r="CW135" s="87"/>
      <c r="CX135" s="87"/>
    </row>
    <row r="136" spans="1:102" x14ac:dyDescent="0.3">
      <c r="A136" s="28">
        <v>38</v>
      </c>
      <c r="C136" s="62">
        <f>IF(A136&lt;='Eingabeblatt 1'!$D$18,C135+1,"")</f>
        <v>2056</v>
      </c>
      <c r="D136" s="63">
        <f>IF(A136&lt;='Eingabeblatt 1'!$D$18,D135+1,"")</f>
        <v>38</v>
      </c>
      <c r="E136" s="64">
        <f>IF(A136&lt;='Eingabeblatt 1'!$D$18,IF(D136='Eingabeblatt 1'!$D$34,-'Eingabeblatt 1'!$L$34*(1+'Eingabeblatt 1'!$J$34)^D136,IF(D136='Eingabeblatt 1'!$D$35,-'Eingabeblatt 1'!$L$35*(1+'Eingabeblatt 1'!$J$35)^D136,IF(D136='Eingabeblatt 1'!$D$36,-'Eingabeblatt 1'!$L$36*(1+'Eingabeblatt 1'!$J$36)^D136,0))),"")</f>
        <v>0</v>
      </c>
      <c r="F136" s="64">
        <f t="shared" si="10"/>
        <v>-1157632.98</v>
      </c>
      <c r="G136" s="65">
        <f>IF(A136&lt;='Eingabeblatt 1'!$D$18,IF(D136='Eingabeblatt 1'!$D$41,-('Eingabeblatt 1'!$L$40+'Eingabeblatt 1'!$L$41)*(1+'Eingabeblatt 1'!$J$40)^D136,-('Eingabeblatt 1'!$L$40)*(1+'Eingabeblatt 1'!$J$40)^D136),"")</f>
        <v>-742804.57734063652</v>
      </c>
      <c r="H136" s="66">
        <f>IF(A136&lt;='Eingabeblatt 1'!$D$18,H135*(1+'Eingabeblatt 1'!$J$42),"")</f>
        <v>-797279.80110951501</v>
      </c>
      <c r="I136" s="66">
        <f>IF(A136&lt;='Eingabeblatt 1'!$D$18,(-'Eingabeblatt 1'!$L$45*(1+'Eingabeblatt 1'!$J$45)^Ergebnis!D136)-('Eingabeblatt 1'!$L$46*(1+'Eingabeblatt 1'!$J$46)^Ergebnis!D136)-('Eingabeblatt 1'!$L$47*(1+'Eingabeblatt 1'!$J$47)^Ergebnis!D136),"")</f>
        <v>-301052.83922372002</v>
      </c>
      <c r="J136" s="67">
        <f>IF(A135&lt;='Eingabeblatt 1'!$D$18,'Eingabeblatt 1'!$D$51*(1+'Eingabeblatt 1'!$J$51)^Ergebnis!D136,"")</f>
        <v>0</v>
      </c>
      <c r="K136" s="68">
        <f t="shared" si="12"/>
        <v>0</v>
      </c>
      <c r="L136" s="68">
        <f>IF(D136&lt;='Eingabeblatt 1'!$D$18,(SUMIFS('Eingabeblatt 2'!$K$14:$K$53,'Eingabeblatt 2'!$E$14:$E$53,Ergebnis!D136))*(1+'Eingabeblatt 1'!$J$34)^Ergebnis!D136,"")</f>
        <v>0</v>
      </c>
      <c r="M136" s="373">
        <f>IF(A136&lt;='Eingabeblatt 1'!$D$18,SUM(G136:L136)+E136,"")</f>
        <v>-1841137.2176738717</v>
      </c>
      <c r="N136" s="83">
        <f>IF(A136&lt;='Eingabeblatt 1'!$D$18,(E136+G136+I136+H136+J136+K136+L136)/(1+'Eingabeblatt 1'!$D$19)^D136,"")</f>
        <v>-414781.39107515052</v>
      </c>
      <c r="O136" s="419">
        <f>IF(A136&lt;='Eingabeblatt 1'!$D$18,O135+N136,"")</f>
        <v>-85632383.25175409</v>
      </c>
      <c r="P136" s="89"/>
      <c r="Q136" s="89"/>
      <c r="R136" s="93">
        <f>(((40-D136)/40*$Q$98))*('Eingabeblatt 1'!$D$20)+$Q$98/40</f>
        <v>74802</v>
      </c>
      <c r="S136" s="93"/>
      <c r="T136" s="93">
        <f>(((30-D107)/30*$S$128))*('Eingabeblatt 1'!$D$20)+$S$128/30</f>
        <v>0</v>
      </c>
      <c r="U136" s="93"/>
      <c r="V136" s="93">
        <f>(((20-D117)/20*$U$118))*('Eingabeblatt 1'!$D$20)+$U$118/20</f>
        <v>473974.62</v>
      </c>
      <c r="W136" s="93"/>
      <c r="X136" s="97">
        <f>(((10-D107)/10*$W$128))*('Eingabeblatt 1'!$D$20)+$W$128/10</f>
        <v>608856.36</v>
      </c>
      <c r="Y136" s="97">
        <f t="shared" si="11"/>
        <v>1157632.98</v>
      </c>
      <c r="Z136" s="89"/>
      <c r="AA136" s="89"/>
      <c r="AB136" s="89"/>
      <c r="AC136" s="89"/>
      <c r="AD136" s="89"/>
      <c r="AE136" s="89"/>
      <c r="AF136" s="89"/>
      <c r="AG136" s="90"/>
      <c r="AH136" s="90"/>
      <c r="AI136" s="90"/>
      <c r="AJ136" s="90"/>
      <c r="AK136" s="89"/>
      <c r="AL136" s="89"/>
      <c r="AM136" s="89"/>
      <c r="AN136" s="89"/>
      <c r="AO136" s="89"/>
      <c r="AP136" s="89"/>
      <c r="AQ136" s="89"/>
      <c r="AR136" s="89"/>
      <c r="AS136" s="89"/>
      <c r="AT136" s="89"/>
      <c r="AU136" s="89"/>
      <c r="AV136" s="89"/>
      <c r="AW136" s="89"/>
      <c r="AX136" s="89"/>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c r="CS136" s="87"/>
      <c r="CT136" s="87"/>
      <c r="CU136" s="87"/>
      <c r="CV136" s="87"/>
      <c r="CW136" s="87"/>
      <c r="CX136" s="87"/>
    </row>
    <row r="137" spans="1:102" x14ac:dyDescent="0.3">
      <c r="A137" s="28">
        <v>39</v>
      </c>
      <c r="C137" s="62">
        <f>IF(A137&lt;='Eingabeblatt 1'!$D$18,C136+1,"")</f>
        <v>2057</v>
      </c>
      <c r="D137" s="63">
        <f>IF(A137&lt;='Eingabeblatt 1'!$D$18,D136+1,"")</f>
        <v>39</v>
      </c>
      <c r="E137" s="64">
        <f>IF(A137&lt;='Eingabeblatt 1'!$D$18,IF(D137='Eingabeblatt 1'!$D$34,-'Eingabeblatt 1'!$L$34*(1+'Eingabeblatt 1'!$J$34)^D137,IF(D137='Eingabeblatt 1'!$D$35,-'Eingabeblatt 1'!$L$35*(1+'Eingabeblatt 1'!$J$35)^D137,IF(D137='Eingabeblatt 1'!$D$36,-'Eingabeblatt 1'!$L$36*(1+'Eingabeblatt 1'!$J$36)^D137,0))),"")</f>
        <v>0</v>
      </c>
      <c r="F137" s="64">
        <f t="shared" si="10"/>
        <v>-1134962.5</v>
      </c>
      <c r="G137" s="65">
        <f>IF(A137&lt;='Eingabeblatt 1'!$D$18,IF(D137='Eingabeblatt 1'!$D$41,-('Eingabeblatt 1'!$L$40+'Eingabeblatt 1'!$L$41)*(1+'Eingabeblatt 1'!$J$40)^D137,-('Eingabeblatt 1'!$L$40)*(1+'Eingabeblatt 1'!$J$40)^D137),"")</f>
        <v>-757660.66888744896</v>
      </c>
      <c r="H137" s="66">
        <f>IF(A137&lt;='Eingabeblatt 1'!$D$18,H136*(1+'Eingabeblatt 1'!$J$42),"")</f>
        <v>-815218.59663447912</v>
      </c>
      <c r="I137" s="66">
        <f>IF(A137&lt;='Eingabeblatt 1'!$D$18,(-'Eingabeblatt 1'!$L$45*(1+'Eingabeblatt 1'!$J$45)^Ergebnis!D137)-('Eingabeblatt 1'!$L$46*(1+'Eingabeblatt 1'!$J$46)^Ergebnis!D137)-('Eingabeblatt 1'!$L$47*(1+'Eingabeblatt 1'!$J$47)^Ergebnis!D137),"")</f>
        <v>-303269.86858589156</v>
      </c>
      <c r="J137" s="67">
        <f>IF(A136&lt;='Eingabeblatt 1'!$D$18,'Eingabeblatt 1'!$D$51*(1+'Eingabeblatt 1'!$J$51)^Ergebnis!D137,"")</f>
        <v>0</v>
      </c>
      <c r="K137" s="68">
        <f t="shared" si="12"/>
        <v>0</v>
      </c>
      <c r="L137" s="68">
        <f>IF(D137&lt;='Eingabeblatt 1'!$D$18,(SUMIFS('Eingabeblatt 2'!$K$14:$K$53,'Eingabeblatt 2'!$E$14:$E$53,Ergebnis!D137))*(1+'Eingabeblatt 1'!$J$34)^Ergebnis!D137,"")</f>
        <v>0</v>
      </c>
      <c r="M137" s="373">
        <f>IF(A137&lt;='Eingabeblatt 1'!$D$18,SUM(G137:L137)+E137,"")</f>
        <v>-1876149.1341078198</v>
      </c>
      <c r="N137" s="83">
        <f>IF(A137&lt;='Eingabeblatt 1'!$D$18,(E137+G137+I137+H137+J137+K137+L137)/(1+'Eingabeblatt 1'!$D$19)^D137,"")</f>
        <v>-406412.56322006282</v>
      </c>
      <c r="O137" s="419">
        <f>IF(A137&lt;='Eingabeblatt 1'!$D$18,O136+N137,"")</f>
        <v>-86038795.814974159</v>
      </c>
      <c r="P137" s="89"/>
      <c r="Q137" s="89"/>
      <c r="R137" s="93">
        <f>(((40-D137)/40*$Q$98))*('Eingabeblatt 1'!$D$20)+$Q$98/40</f>
        <v>73363.5</v>
      </c>
      <c r="S137" s="93"/>
      <c r="T137" s="93">
        <f>(((30-D108)/30*$S$128))*('Eingabeblatt 1'!$D$20)+$S$128/30</f>
        <v>0</v>
      </c>
      <c r="U137" s="93"/>
      <c r="V137" s="93">
        <f>(((20-D118)/20*$U$118))*('Eingabeblatt 1'!$D$20)+$U$118/20</f>
        <v>464681</v>
      </c>
      <c r="W137" s="93"/>
      <c r="X137" s="97">
        <f>(((10-D108)/10*$W$128))*('Eingabeblatt 1'!$D$20)+$W$128/10</f>
        <v>596918</v>
      </c>
      <c r="Y137" s="97">
        <f t="shared" si="11"/>
        <v>1134962.5</v>
      </c>
      <c r="Z137" s="89"/>
      <c r="AA137" s="89"/>
      <c r="AB137" s="89"/>
      <c r="AC137" s="89"/>
      <c r="AD137" s="89"/>
      <c r="AE137" s="89"/>
      <c r="AF137" s="89"/>
      <c r="AG137" s="90"/>
      <c r="AH137" s="90"/>
      <c r="AI137" s="90"/>
      <c r="AJ137" s="90"/>
      <c r="AK137" s="89"/>
      <c r="AL137" s="89"/>
      <c r="AM137" s="89"/>
      <c r="AN137" s="89"/>
      <c r="AO137" s="89"/>
      <c r="AP137" s="89"/>
      <c r="AQ137" s="89"/>
      <c r="AR137" s="89"/>
      <c r="AS137" s="89"/>
      <c r="AT137" s="89"/>
      <c r="AU137" s="89"/>
      <c r="AV137" s="89"/>
      <c r="AW137" s="89"/>
      <c r="AX137" s="89"/>
      <c r="AY137" s="87"/>
      <c r="AZ137" s="87"/>
      <c r="BA137" s="87"/>
      <c r="BB137" s="87"/>
      <c r="BC137" s="87"/>
      <c r="BD137" s="87"/>
      <c r="BE137" s="87"/>
      <c r="BF137" s="87"/>
      <c r="BG137" s="87"/>
      <c r="BH137" s="87"/>
      <c r="BI137" s="87"/>
      <c r="BJ137" s="87"/>
      <c r="BK137" s="87"/>
      <c r="BL137" s="87"/>
      <c r="BM137" s="87"/>
      <c r="BN137" s="87"/>
      <c r="BO137" s="87"/>
      <c r="BP137" s="87"/>
      <c r="BQ137" s="87"/>
      <c r="BR137" s="87"/>
      <c r="BS137" s="87"/>
      <c r="BT137" s="87"/>
      <c r="BU137" s="87"/>
      <c r="BV137" s="87"/>
      <c r="BW137" s="87"/>
      <c r="BX137" s="87"/>
      <c r="BY137" s="87"/>
      <c r="BZ137" s="87"/>
      <c r="CA137" s="87"/>
      <c r="CB137" s="87"/>
      <c r="CC137" s="87"/>
      <c r="CD137" s="87"/>
      <c r="CE137" s="87"/>
      <c r="CF137" s="87"/>
      <c r="CG137" s="87"/>
      <c r="CH137" s="87"/>
      <c r="CI137" s="87"/>
      <c r="CJ137" s="87"/>
      <c r="CK137" s="87"/>
      <c r="CL137" s="87"/>
      <c r="CM137" s="87"/>
      <c r="CN137" s="87"/>
      <c r="CO137" s="87"/>
      <c r="CP137" s="87"/>
      <c r="CQ137" s="87"/>
      <c r="CR137" s="87"/>
      <c r="CS137" s="87"/>
      <c r="CT137" s="87"/>
      <c r="CU137" s="87"/>
      <c r="CV137" s="87"/>
      <c r="CW137" s="87"/>
      <c r="CX137" s="87"/>
    </row>
    <row r="138" spans="1:102" x14ac:dyDescent="0.3">
      <c r="A138" s="28">
        <v>40</v>
      </c>
      <c r="C138" s="69">
        <f>IF(A138&lt;='Eingabeblatt 1'!$D$18,C137+1,"")</f>
        <v>2058</v>
      </c>
      <c r="D138" s="70">
        <f>IF(A138&lt;='Eingabeblatt 1'!$D$18,D137+1,"")</f>
        <v>40</v>
      </c>
      <c r="E138" s="71">
        <f>IF(A138&lt;='Eingabeblatt 1'!$D$18,IF(D138='Eingabeblatt 1'!$D$34,-'Eingabeblatt 1'!$L$34*(1+'Eingabeblatt 1'!$J$34)^D138,IF(D138='Eingabeblatt 1'!$D$35,-'Eingabeblatt 1'!$L$35*(1+'Eingabeblatt 1'!$J$35)^D138,IF(D138='Eingabeblatt 1'!$D$36,-'Eingabeblatt 1'!$L$36*(1+'Eingabeblatt 1'!$J$36)^D138,IF(D138='Eingabeblatt 1'!$D$37,-'Eingabeblatt 1'!$L$37*(1+'Eingabeblatt 1'!$J$37)^D138,0)))),"")</f>
        <v>-1391064.9880773567</v>
      </c>
      <c r="F138" s="64">
        <f t="shared" si="10"/>
        <v>-1112292.02</v>
      </c>
      <c r="G138" s="72">
        <f>IF(A138&lt;='Eingabeblatt 1'!$D$18,IF(D138='Eingabeblatt 1'!$D$41,-('Eingabeblatt 1'!$L$40+'Eingabeblatt 1'!$L$41)*(1+'Eingabeblatt 1'!$J$40)^D138,-('Eingabeblatt 1'!$L$40)*(1+'Eingabeblatt 1'!$J$40)^D138),"")</f>
        <v>-772813.88226519816</v>
      </c>
      <c r="H138" s="73">
        <f>IF(A138&lt;='Eingabeblatt 1'!$D$18,H137*(1+'Eingabeblatt 1'!$J$42),"")</f>
        <v>-833561.01505875483</v>
      </c>
      <c r="I138" s="73">
        <f>IF(A138&lt;='Eingabeblatt 1'!$D$18,(-'Eingabeblatt 1'!$L$45*(1+'Eingabeblatt 1'!$J$45)^Ergebnis!D138)-('Eingabeblatt 1'!$L$46*(1+'Eingabeblatt 1'!$J$46)^Ergebnis!D138)-('Eingabeblatt 1'!$L$47*(1+'Eingabeblatt 1'!$J$47)^Ergebnis!D138),"")</f>
        <v>-305505.10074653453</v>
      </c>
      <c r="J138" s="74">
        <f>IF(A137&lt;='Eingabeblatt 1'!$D$18,'Eingabeblatt 1'!$D$51*(1+'Eingabeblatt 1'!$J$51)^Ergebnis!D138,"")</f>
        <v>0</v>
      </c>
      <c r="K138" s="75">
        <f t="shared" si="12"/>
        <v>0</v>
      </c>
      <c r="L138" s="75">
        <f>IF(D138&lt;='Eingabeblatt 1'!$D$18,(SUMIFS('Eingabeblatt 2'!$K$14:$K$53,'Eingabeblatt 2'!$E$14:$E$53,Ergebnis!D118)+SUMIFS('Eingabeblatt 2'!$K$14:$K$53,'Eingabeblatt 2'!$E$14:$E$53,Ergebnis!D108))*(1+'Eingabeblatt 1'!$J$34)^Ergebnis!D118+(SUMIFS('Eingabeblatt 2'!$K$14:$K$53,'Eingabeblatt 2'!$E$14:$E$53,Ergebnis!D138))*(1+'Eingabeblatt 1'!$J$34)^Ergebnis!D138,"")</f>
        <v>157932.13584468421</v>
      </c>
      <c r="M138" s="374">
        <f>IF(A138&lt;='Eingabeblatt 1'!$D$18,SUM(G138:L138)+E138,"")</f>
        <v>-3145012.85030316</v>
      </c>
      <c r="N138" s="84">
        <f>IF(A138&lt;='Eingabeblatt 1'!$D$18,(E138+G138+I138+H138+J138+K138+L138)/(1+'Eingabeblatt 1'!$D$19)^D138,"")</f>
        <v>-655071.72204231832</v>
      </c>
      <c r="O138" s="420">
        <f>IF(A138&lt;='Eingabeblatt 1'!$D$18,O137+N138,"")</f>
        <v>-86693867.537016481</v>
      </c>
      <c r="P138" s="89"/>
      <c r="Q138" s="89"/>
      <c r="R138" s="93">
        <f>(((40-D138)/40*$Q$98))*('Eingabeblatt 1'!$D$20)+$Q$98/40</f>
        <v>71925</v>
      </c>
      <c r="S138" s="93"/>
      <c r="T138" s="93">
        <f>(((30-D109)/30*$S$128))*('Eingabeblatt 1'!$D$20)+$S$128/30</f>
        <v>0</v>
      </c>
      <c r="U138" s="93"/>
      <c r="V138" s="93">
        <f>(((20-D119)/20*$U$118))*('Eingabeblatt 1'!$D$20)+$U$118/20</f>
        <v>455387.38</v>
      </c>
      <c r="W138" s="93"/>
      <c r="X138" s="97">
        <f>(((10-D109)/10*$W$128))*('Eingabeblatt 1'!$D$20)+$W$128/10</f>
        <v>584979.64</v>
      </c>
      <c r="Y138" s="97">
        <f t="shared" si="11"/>
        <v>1112292.02</v>
      </c>
      <c r="Z138" s="89"/>
      <c r="AA138" s="89"/>
      <c r="AB138" s="89"/>
      <c r="AC138" s="89"/>
      <c r="AD138" s="89"/>
      <c r="AE138" s="89"/>
      <c r="AF138" s="89"/>
      <c r="AG138" s="90"/>
      <c r="AH138" s="90"/>
      <c r="AI138" s="90"/>
      <c r="AJ138" s="90"/>
      <c r="AK138" s="89"/>
      <c r="AL138" s="89"/>
      <c r="AM138" s="89"/>
      <c r="AN138" s="89"/>
      <c r="AO138" s="89"/>
      <c r="AP138" s="89"/>
      <c r="AQ138" s="89"/>
      <c r="AR138" s="89"/>
      <c r="AS138" s="89"/>
      <c r="AT138" s="89"/>
      <c r="AU138" s="89"/>
      <c r="AV138" s="89"/>
      <c r="AW138" s="89"/>
      <c r="AX138" s="89"/>
      <c r="AY138" s="87"/>
      <c r="AZ138" s="87"/>
      <c r="BA138" s="87"/>
      <c r="BB138" s="87"/>
      <c r="BC138" s="87"/>
      <c r="BD138" s="87"/>
      <c r="BE138" s="87"/>
      <c r="BF138" s="87"/>
      <c r="BG138" s="87"/>
      <c r="BH138" s="87"/>
      <c r="BI138" s="87"/>
      <c r="BJ138" s="87"/>
      <c r="BK138" s="87"/>
      <c r="BL138" s="87"/>
      <c r="BM138" s="87"/>
      <c r="BN138" s="87"/>
      <c r="BO138" s="87"/>
      <c r="BP138" s="87"/>
      <c r="BQ138" s="87"/>
      <c r="BR138" s="87"/>
      <c r="BS138" s="87"/>
      <c r="BT138" s="87"/>
      <c r="BU138" s="87"/>
      <c r="BV138" s="87"/>
      <c r="BW138" s="87"/>
      <c r="BX138" s="87"/>
      <c r="BY138" s="87"/>
      <c r="BZ138" s="87"/>
      <c r="CA138" s="87"/>
      <c r="CB138" s="87"/>
      <c r="CC138" s="87"/>
      <c r="CD138" s="87"/>
      <c r="CE138" s="87"/>
      <c r="CF138" s="87"/>
      <c r="CG138" s="87"/>
      <c r="CH138" s="87"/>
      <c r="CI138" s="87"/>
      <c r="CJ138" s="87"/>
      <c r="CK138" s="87"/>
      <c r="CL138" s="87"/>
      <c r="CM138" s="87"/>
      <c r="CN138" s="87"/>
      <c r="CO138" s="87"/>
      <c r="CP138" s="87"/>
      <c r="CQ138" s="87"/>
      <c r="CR138" s="87"/>
      <c r="CS138" s="87"/>
      <c r="CT138" s="87"/>
      <c r="CU138" s="87"/>
      <c r="CV138" s="87"/>
      <c r="CW138" s="87"/>
      <c r="CX138" s="87"/>
    </row>
    <row r="139" spans="1:102" x14ac:dyDescent="0.3">
      <c r="A139" s="19"/>
      <c r="C139" s="21"/>
      <c r="D139" s="21"/>
      <c r="E139" s="21"/>
      <c r="F139" s="21"/>
      <c r="G139" s="21"/>
      <c r="H139" s="21"/>
      <c r="I139" s="21"/>
      <c r="J139" s="21"/>
      <c r="K139" s="22">
        <f t="shared" ref="K139:O139" si="13">SUM(K98:K138)</f>
        <v>0</v>
      </c>
      <c r="L139" s="22">
        <f t="shared" si="13"/>
        <v>637942.02315773116</v>
      </c>
      <c r="M139" s="86">
        <f t="shared" si="13"/>
        <v>-154827779.90706766</v>
      </c>
      <c r="N139" s="23">
        <f t="shared" si="13"/>
        <v>-86693867.537016481</v>
      </c>
      <c r="O139" s="23">
        <f t="shared" si="13"/>
        <v>-2510546481.1367421</v>
      </c>
      <c r="P139" s="89"/>
      <c r="Q139" s="89"/>
      <c r="R139" s="89"/>
      <c r="S139" s="89"/>
      <c r="T139" s="89"/>
      <c r="U139" s="89"/>
      <c r="V139" s="89"/>
      <c r="W139" s="89"/>
      <c r="X139" s="90"/>
      <c r="Y139" s="89"/>
      <c r="Z139" s="89"/>
      <c r="AA139" s="89"/>
      <c r="AB139" s="89"/>
      <c r="AC139" s="89"/>
      <c r="AD139" s="89"/>
      <c r="AE139" s="89"/>
      <c r="AF139" s="89"/>
      <c r="AG139" s="90"/>
      <c r="AH139" s="90"/>
      <c r="AI139" s="90"/>
      <c r="AJ139" s="90"/>
      <c r="AK139" s="89"/>
      <c r="AL139" s="89"/>
      <c r="AM139" s="89"/>
      <c r="AN139" s="89"/>
      <c r="AO139" s="89"/>
      <c r="AP139" s="89"/>
      <c r="AQ139" s="89"/>
      <c r="AR139" s="89"/>
      <c r="AS139" s="89"/>
      <c r="AT139" s="89"/>
      <c r="AU139" s="89"/>
      <c r="AV139" s="89"/>
      <c r="AW139" s="89"/>
      <c r="AX139" s="89"/>
      <c r="AY139" s="87"/>
      <c r="AZ139" s="87"/>
      <c r="BA139" s="87"/>
      <c r="BB139" s="87"/>
      <c r="BC139" s="87"/>
      <c r="BD139" s="87"/>
      <c r="BE139" s="87"/>
      <c r="BF139" s="87"/>
      <c r="BG139" s="87"/>
      <c r="BH139" s="87"/>
      <c r="BI139" s="87"/>
      <c r="BJ139" s="87"/>
      <c r="BK139" s="87"/>
      <c r="BL139" s="87"/>
      <c r="BM139" s="87"/>
      <c r="BN139" s="87"/>
      <c r="BO139" s="87"/>
      <c r="BP139" s="87"/>
      <c r="BQ139" s="87"/>
      <c r="BR139" s="87"/>
      <c r="BS139" s="87"/>
      <c r="BT139" s="87"/>
      <c r="BU139" s="87"/>
      <c r="BV139" s="87"/>
      <c r="BW139" s="87"/>
      <c r="BX139" s="87"/>
      <c r="BY139" s="87"/>
      <c r="BZ139" s="87"/>
      <c r="CA139" s="87"/>
      <c r="CB139" s="87"/>
      <c r="CC139" s="87"/>
      <c r="CD139" s="87"/>
      <c r="CE139" s="87"/>
      <c r="CF139" s="87"/>
      <c r="CG139" s="87"/>
      <c r="CH139" s="87"/>
      <c r="CI139" s="87"/>
      <c r="CJ139" s="87"/>
      <c r="CK139" s="87"/>
      <c r="CL139" s="87"/>
      <c r="CM139" s="87"/>
      <c r="CN139" s="87"/>
      <c r="CO139" s="87"/>
      <c r="CP139" s="87"/>
      <c r="CQ139" s="87"/>
      <c r="CR139" s="87"/>
      <c r="CS139" s="87"/>
      <c r="CT139" s="87"/>
      <c r="CU139" s="87"/>
      <c r="CV139" s="87"/>
      <c r="CW139" s="87"/>
      <c r="CX139" s="87"/>
    </row>
    <row r="140" spans="1:102" x14ac:dyDescent="0.3">
      <c r="A140" s="19"/>
      <c r="P140" s="89"/>
      <c r="Q140" s="89"/>
      <c r="R140" s="89"/>
      <c r="S140" s="89"/>
      <c r="T140" s="89"/>
      <c r="U140" s="89"/>
      <c r="V140" s="89"/>
      <c r="W140" s="89"/>
      <c r="X140" s="90"/>
      <c r="Y140" s="89"/>
      <c r="Z140" s="89"/>
      <c r="AA140" s="89"/>
      <c r="AB140" s="89"/>
      <c r="AC140" s="89"/>
      <c r="AD140" s="89"/>
      <c r="AE140" s="89"/>
      <c r="AF140" s="89"/>
      <c r="AG140" s="90"/>
      <c r="AH140" s="90"/>
      <c r="AI140" s="90"/>
      <c r="AJ140" s="90"/>
      <c r="AK140" s="89"/>
      <c r="AL140" s="89"/>
      <c r="AM140" s="89"/>
      <c r="AN140" s="89"/>
      <c r="AO140" s="89"/>
      <c r="AP140" s="89"/>
      <c r="AQ140" s="89"/>
      <c r="AR140" s="89"/>
      <c r="AS140" s="89"/>
      <c r="AT140" s="89"/>
      <c r="AU140" s="89"/>
      <c r="AV140" s="89"/>
      <c r="AW140" s="89"/>
      <c r="AX140" s="89"/>
      <c r="AY140" s="87"/>
      <c r="AZ140" s="87"/>
      <c r="BA140" s="87"/>
      <c r="BB140" s="87"/>
      <c r="BC140" s="87"/>
      <c r="BD140" s="87"/>
      <c r="BE140" s="87"/>
      <c r="BF140" s="87"/>
      <c r="BG140" s="87"/>
      <c r="BH140" s="87"/>
      <c r="BI140" s="87"/>
      <c r="BJ140" s="87"/>
      <c r="BK140" s="87"/>
      <c r="BL140" s="87"/>
      <c r="BM140" s="87"/>
      <c r="BN140" s="87"/>
      <c r="BO140" s="87"/>
      <c r="BP140" s="87"/>
      <c r="BQ140" s="87"/>
      <c r="BR140" s="87"/>
      <c r="BS140" s="87"/>
      <c r="BT140" s="87"/>
      <c r="BU140" s="87"/>
      <c r="BV140" s="87"/>
      <c r="BW140" s="87"/>
      <c r="BX140" s="87"/>
      <c r="BY140" s="87"/>
      <c r="BZ140" s="87"/>
      <c r="CA140" s="87"/>
      <c r="CB140" s="87"/>
      <c r="CC140" s="87"/>
      <c r="CD140" s="87"/>
      <c r="CE140" s="87"/>
      <c r="CF140" s="87"/>
      <c r="CG140" s="87"/>
      <c r="CH140" s="87"/>
      <c r="CI140" s="87"/>
      <c r="CJ140" s="87"/>
      <c r="CK140" s="87"/>
      <c r="CL140" s="87"/>
      <c r="CM140" s="87"/>
      <c r="CN140" s="87"/>
      <c r="CO140" s="87"/>
      <c r="CP140" s="87"/>
      <c r="CQ140" s="87"/>
      <c r="CR140" s="87"/>
      <c r="CS140" s="87"/>
      <c r="CT140" s="87"/>
      <c r="CU140" s="87"/>
      <c r="CV140" s="87"/>
      <c r="CW140" s="87"/>
      <c r="CX140" s="87"/>
    </row>
    <row r="141" spans="1:102" x14ac:dyDescent="0.3">
      <c r="A141" s="19"/>
      <c r="F141" s="45"/>
      <c r="P141" s="87"/>
      <c r="Q141" s="87"/>
      <c r="R141" s="87"/>
      <c r="S141" s="87"/>
      <c r="T141" s="87"/>
      <c r="U141" s="87"/>
      <c r="V141" s="87"/>
      <c r="W141" s="87"/>
      <c r="X141" s="88"/>
      <c r="Y141" s="87"/>
      <c r="Z141" s="87"/>
      <c r="AA141" s="87"/>
      <c r="AB141" s="87"/>
      <c r="AC141" s="87"/>
      <c r="AD141" s="87"/>
      <c r="AE141" s="87"/>
      <c r="AF141" s="87"/>
      <c r="AG141" s="88"/>
      <c r="AH141" s="88"/>
      <c r="AI141" s="88"/>
      <c r="AJ141" s="88"/>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87"/>
      <c r="BS141" s="87"/>
      <c r="BT141" s="87"/>
      <c r="BU141" s="87"/>
      <c r="BV141" s="87"/>
      <c r="BW141" s="87"/>
      <c r="BX141" s="87"/>
      <c r="BY141" s="87"/>
      <c r="BZ141" s="87"/>
      <c r="CA141" s="87"/>
      <c r="CB141" s="87"/>
      <c r="CC141" s="87"/>
      <c r="CD141" s="87"/>
      <c r="CE141" s="87"/>
      <c r="CF141" s="87"/>
      <c r="CG141" s="87"/>
      <c r="CH141" s="87"/>
      <c r="CI141" s="87"/>
      <c r="CJ141" s="87"/>
      <c r="CK141" s="87"/>
      <c r="CL141" s="87"/>
      <c r="CM141" s="87"/>
      <c r="CN141" s="87"/>
      <c r="CO141" s="87"/>
      <c r="CP141" s="87"/>
      <c r="CQ141" s="87"/>
      <c r="CR141" s="87"/>
      <c r="CS141" s="87"/>
      <c r="CT141" s="87"/>
      <c r="CU141" s="87"/>
      <c r="CV141" s="87"/>
      <c r="CW141" s="87"/>
      <c r="CX141" s="87"/>
    </row>
    <row r="142" spans="1:102" x14ac:dyDescent="0.3">
      <c r="C142" s="49"/>
      <c r="P142" s="87"/>
      <c r="Q142" s="87"/>
      <c r="R142" s="87"/>
      <c r="S142" s="87"/>
      <c r="T142" s="87"/>
      <c r="U142" s="87"/>
      <c r="V142" s="87"/>
      <c r="W142" s="87"/>
      <c r="X142" s="88"/>
      <c r="Y142" s="87"/>
      <c r="Z142" s="87"/>
      <c r="AA142" s="87"/>
      <c r="AB142" s="87"/>
      <c r="AC142" s="87"/>
      <c r="AD142" s="87"/>
      <c r="AE142" s="87"/>
      <c r="AF142" s="87"/>
      <c r="AG142" s="88"/>
      <c r="AH142" s="88"/>
      <c r="AI142" s="88"/>
      <c r="AJ142" s="88"/>
      <c r="AK142" s="87"/>
      <c r="AL142" s="87"/>
      <c r="AM142" s="87"/>
      <c r="AN142" s="87"/>
      <c r="AO142" s="87"/>
      <c r="AP142" s="87"/>
      <c r="AQ142" s="87"/>
      <c r="AR142" s="87"/>
      <c r="AS142" s="87"/>
      <c r="AT142" s="87"/>
      <c r="AU142" s="87"/>
      <c r="AV142" s="87"/>
      <c r="AW142" s="87"/>
      <c r="AX142" s="87"/>
      <c r="AY142" s="87"/>
      <c r="AZ142" s="87"/>
      <c r="BA142" s="87"/>
      <c r="BB142" s="87"/>
      <c r="BC142" s="87"/>
      <c r="BD142" s="87"/>
      <c r="BE142" s="87"/>
      <c r="BF142" s="87"/>
      <c r="BG142" s="87"/>
      <c r="BH142" s="87"/>
      <c r="BI142" s="87"/>
      <c r="BJ142" s="87"/>
      <c r="BK142" s="87"/>
      <c r="BL142" s="87"/>
      <c r="BM142" s="87"/>
      <c r="BN142" s="87"/>
      <c r="BO142" s="87"/>
      <c r="BP142" s="87"/>
      <c r="BQ142" s="87"/>
      <c r="BR142" s="87"/>
      <c r="BS142" s="87"/>
      <c r="BT142" s="87"/>
      <c r="BU142" s="87"/>
      <c r="BV142" s="87"/>
      <c r="BW142" s="87"/>
      <c r="BX142" s="87"/>
      <c r="BY142" s="87"/>
      <c r="BZ142" s="87"/>
      <c r="CA142" s="87"/>
      <c r="CB142" s="87"/>
      <c r="CC142" s="87"/>
      <c r="CD142" s="87"/>
      <c r="CE142" s="87"/>
      <c r="CF142" s="87"/>
      <c r="CG142" s="87"/>
      <c r="CH142" s="87"/>
      <c r="CI142" s="87"/>
      <c r="CJ142" s="87"/>
      <c r="CK142" s="87"/>
      <c r="CL142" s="87"/>
      <c r="CM142" s="87"/>
      <c r="CN142" s="87"/>
      <c r="CO142" s="87"/>
      <c r="CP142" s="87"/>
      <c r="CQ142" s="87"/>
      <c r="CR142" s="87"/>
      <c r="CS142" s="87"/>
      <c r="CT142" s="87"/>
      <c r="CU142" s="87"/>
      <c r="CV142" s="87"/>
      <c r="CW142" s="87"/>
      <c r="CX142" s="87"/>
    </row>
    <row r="143" spans="1:102" x14ac:dyDescent="0.3">
      <c r="P143" s="87"/>
      <c r="Q143" s="87"/>
      <c r="R143" s="87"/>
      <c r="S143" s="87"/>
      <c r="T143" s="87"/>
      <c r="U143" s="87"/>
      <c r="V143" s="87"/>
      <c r="W143" s="87"/>
      <c r="X143" s="88"/>
      <c r="Y143" s="87"/>
      <c r="Z143" s="87"/>
      <c r="AA143" s="87"/>
      <c r="AB143" s="87"/>
      <c r="AC143" s="87"/>
      <c r="AD143" s="87"/>
      <c r="AE143" s="87"/>
      <c r="AF143" s="87"/>
      <c r="AG143" s="88"/>
      <c r="AH143" s="88"/>
      <c r="AI143" s="88"/>
      <c r="AJ143" s="88"/>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87"/>
      <c r="BS143" s="87"/>
      <c r="BT143" s="87"/>
      <c r="BU143" s="87"/>
      <c r="BV143" s="87"/>
      <c r="BW143" s="87"/>
      <c r="BX143" s="87"/>
      <c r="BY143" s="87"/>
      <c r="BZ143" s="87"/>
      <c r="CA143" s="87"/>
      <c r="CB143" s="87"/>
      <c r="CC143" s="87"/>
      <c r="CD143" s="87"/>
      <c r="CE143" s="87"/>
      <c r="CF143" s="87"/>
      <c r="CG143" s="87"/>
      <c r="CH143" s="87"/>
      <c r="CI143" s="87"/>
      <c r="CJ143" s="87"/>
      <c r="CK143" s="87"/>
      <c r="CL143" s="87"/>
      <c r="CM143" s="87"/>
      <c r="CN143" s="87"/>
      <c r="CO143" s="87"/>
      <c r="CP143" s="87"/>
      <c r="CQ143" s="87"/>
      <c r="CR143" s="87"/>
      <c r="CS143" s="87"/>
      <c r="CT143" s="87"/>
      <c r="CU143" s="87"/>
      <c r="CV143" s="87"/>
      <c r="CW143" s="87"/>
      <c r="CX143" s="87"/>
    </row>
    <row r="144" spans="1:102" x14ac:dyDescent="0.3">
      <c r="P144" s="87"/>
      <c r="Q144" s="87"/>
      <c r="R144" s="87"/>
      <c r="S144" s="87"/>
      <c r="T144" s="87"/>
      <c r="U144" s="87"/>
      <c r="V144" s="87"/>
      <c r="W144" s="87"/>
      <c r="X144" s="88"/>
      <c r="Y144" s="87"/>
      <c r="Z144" s="87"/>
      <c r="AA144" s="87"/>
      <c r="AB144" s="87"/>
      <c r="AC144" s="87"/>
      <c r="AD144" s="87"/>
      <c r="AE144" s="87"/>
      <c r="AF144" s="87"/>
      <c r="AG144" s="88"/>
      <c r="AH144" s="88"/>
      <c r="AI144" s="88"/>
      <c r="AJ144" s="88"/>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87"/>
      <c r="BS144" s="87"/>
      <c r="BT144" s="87"/>
      <c r="BU144" s="87"/>
      <c r="BV144" s="87"/>
      <c r="BW144" s="87"/>
      <c r="BX144" s="87"/>
      <c r="BY144" s="87"/>
      <c r="BZ144" s="87"/>
      <c r="CA144" s="87"/>
      <c r="CB144" s="87"/>
      <c r="CC144" s="87"/>
      <c r="CD144" s="87"/>
      <c r="CE144" s="87"/>
      <c r="CF144" s="87"/>
      <c r="CG144" s="87"/>
      <c r="CH144" s="87"/>
      <c r="CI144" s="87"/>
      <c r="CJ144" s="87"/>
      <c r="CK144" s="87"/>
      <c r="CL144" s="87"/>
      <c r="CM144" s="87"/>
      <c r="CN144" s="87"/>
      <c r="CO144" s="87"/>
      <c r="CP144" s="87"/>
      <c r="CQ144" s="87"/>
      <c r="CR144" s="87"/>
      <c r="CS144" s="87"/>
      <c r="CT144" s="87"/>
      <c r="CU144" s="87"/>
      <c r="CV144" s="87"/>
      <c r="CW144" s="87"/>
      <c r="CX144" s="87"/>
    </row>
    <row r="145" spans="16:102" x14ac:dyDescent="0.3">
      <c r="P145" s="87"/>
      <c r="Q145" s="87"/>
      <c r="R145" s="87"/>
      <c r="S145" s="87"/>
      <c r="T145" s="87"/>
      <c r="U145" s="87"/>
      <c r="V145" s="87"/>
      <c r="W145" s="87"/>
      <c r="X145" s="88"/>
      <c r="Y145" s="87"/>
      <c r="Z145" s="87"/>
      <c r="AA145" s="87"/>
      <c r="AB145" s="87"/>
      <c r="AC145" s="87"/>
      <c r="AD145" s="87"/>
      <c r="AE145" s="87"/>
      <c r="AF145" s="87"/>
      <c r="AG145" s="88"/>
      <c r="AH145" s="88"/>
      <c r="AI145" s="88"/>
      <c r="AJ145" s="88"/>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87"/>
      <c r="BS145" s="87"/>
      <c r="BT145" s="87"/>
      <c r="BU145" s="87"/>
      <c r="BV145" s="87"/>
      <c r="BW145" s="87"/>
      <c r="BX145" s="87"/>
      <c r="BY145" s="87"/>
      <c r="BZ145" s="87"/>
      <c r="CA145" s="87"/>
      <c r="CB145" s="87"/>
      <c r="CC145" s="87"/>
      <c r="CD145" s="87"/>
      <c r="CE145" s="87"/>
      <c r="CF145" s="87"/>
      <c r="CG145" s="87"/>
      <c r="CH145" s="87"/>
      <c r="CI145" s="87"/>
      <c r="CJ145" s="87"/>
      <c r="CK145" s="87"/>
      <c r="CL145" s="87"/>
      <c r="CM145" s="87"/>
      <c r="CN145" s="87"/>
      <c r="CO145" s="87"/>
      <c r="CP145" s="87"/>
      <c r="CQ145" s="87"/>
      <c r="CR145" s="87"/>
      <c r="CS145" s="87"/>
      <c r="CT145" s="87"/>
      <c r="CU145" s="87"/>
      <c r="CV145" s="87"/>
      <c r="CW145" s="87"/>
      <c r="CX145" s="87"/>
    </row>
    <row r="146" spans="16:102" x14ac:dyDescent="0.3">
      <c r="P146" s="87"/>
      <c r="Q146" s="87"/>
      <c r="R146" s="87"/>
      <c r="S146" s="87"/>
      <c r="T146" s="87"/>
      <c r="U146" s="87"/>
      <c r="V146" s="87"/>
      <c r="W146" s="87"/>
      <c r="X146" s="88"/>
      <c r="Y146" s="87"/>
      <c r="Z146" s="87"/>
      <c r="AA146" s="87"/>
      <c r="AB146" s="87"/>
      <c r="AC146" s="87"/>
      <c r="AD146" s="87"/>
      <c r="AE146" s="87"/>
      <c r="AF146" s="87"/>
      <c r="AG146" s="88"/>
      <c r="AH146" s="88"/>
      <c r="AI146" s="88"/>
      <c r="AJ146" s="88"/>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87"/>
      <c r="BS146" s="87"/>
      <c r="BT146" s="87"/>
      <c r="BU146" s="87"/>
      <c r="BV146" s="87"/>
      <c r="BW146" s="87"/>
      <c r="BX146" s="87"/>
      <c r="BY146" s="87"/>
      <c r="BZ146" s="87"/>
      <c r="CA146" s="87"/>
      <c r="CB146" s="87"/>
      <c r="CC146" s="87"/>
      <c r="CD146" s="87"/>
      <c r="CE146" s="87"/>
      <c r="CF146" s="87"/>
      <c r="CG146" s="87"/>
      <c r="CH146" s="87"/>
      <c r="CI146" s="87"/>
      <c r="CJ146" s="87"/>
      <c r="CK146" s="87"/>
      <c r="CL146" s="87"/>
      <c r="CM146" s="87"/>
      <c r="CN146" s="87"/>
      <c r="CO146" s="87"/>
      <c r="CP146" s="87"/>
      <c r="CQ146" s="87"/>
      <c r="CR146" s="87"/>
      <c r="CS146" s="87"/>
      <c r="CT146" s="87"/>
      <c r="CU146" s="87"/>
      <c r="CV146" s="87"/>
      <c r="CW146" s="87"/>
      <c r="CX146" s="87"/>
    </row>
    <row r="147" spans="16:102" x14ac:dyDescent="0.3">
      <c r="P147" s="87"/>
      <c r="Q147" s="87"/>
      <c r="R147" s="87"/>
      <c r="S147" s="87"/>
      <c r="T147" s="87"/>
      <c r="U147" s="87"/>
      <c r="V147" s="87"/>
      <c r="W147" s="87"/>
      <c r="X147" s="88"/>
      <c r="Y147" s="87"/>
      <c r="Z147" s="87"/>
      <c r="AA147" s="87"/>
      <c r="AB147" s="87"/>
      <c r="AC147" s="87"/>
      <c r="AD147" s="87"/>
      <c r="AE147" s="87"/>
      <c r="AF147" s="87"/>
      <c r="AG147" s="88"/>
      <c r="AH147" s="88"/>
      <c r="AI147" s="88"/>
      <c r="AJ147" s="88"/>
      <c r="AK147" s="87"/>
      <c r="AL147" s="87"/>
      <c r="AM147" s="87"/>
      <c r="AN147" s="87"/>
      <c r="AO147" s="87"/>
      <c r="AP147" s="87"/>
      <c r="AQ147" s="87"/>
      <c r="AR147" s="87"/>
      <c r="AS147" s="87"/>
      <c r="AT147" s="87"/>
      <c r="AU147" s="87"/>
      <c r="AV147" s="87"/>
      <c r="AW147" s="87"/>
      <c r="AX147" s="87"/>
      <c r="AY147" s="87"/>
      <c r="AZ147" s="87"/>
      <c r="BA147" s="87"/>
      <c r="BB147" s="87"/>
      <c r="BC147" s="87"/>
      <c r="BD147" s="87"/>
      <c r="BE147" s="87"/>
      <c r="BF147" s="87"/>
      <c r="BG147" s="87"/>
      <c r="BH147" s="87"/>
      <c r="BI147" s="87"/>
      <c r="BJ147" s="87"/>
      <c r="BK147" s="87"/>
      <c r="BL147" s="87"/>
      <c r="BM147" s="87"/>
      <c r="BN147" s="87"/>
      <c r="BO147" s="87"/>
      <c r="BP147" s="87"/>
      <c r="BQ147" s="87"/>
      <c r="BR147" s="87"/>
      <c r="BS147" s="87"/>
      <c r="BT147" s="87"/>
      <c r="BU147" s="87"/>
      <c r="BV147" s="87"/>
      <c r="BW147" s="87"/>
      <c r="BX147" s="87"/>
      <c r="BY147" s="87"/>
      <c r="BZ147" s="87"/>
      <c r="CA147" s="87"/>
      <c r="CB147" s="87"/>
      <c r="CC147" s="87"/>
      <c r="CD147" s="87"/>
      <c r="CE147" s="87"/>
      <c r="CF147" s="87"/>
      <c r="CG147" s="87"/>
      <c r="CH147" s="87"/>
      <c r="CI147" s="87"/>
      <c r="CJ147" s="87"/>
      <c r="CK147" s="87"/>
      <c r="CL147" s="87"/>
      <c r="CM147" s="87"/>
      <c r="CN147" s="87"/>
      <c r="CO147" s="87"/>
      <c r="CP147" s="87"/>
      <c r="CQ147" s="87"/>
      <c r="CR147" s="87"/>
      <c r="CS147" s="87"/>
      <c r="CT147" s="87"/>
      <c r="CU147" s="87"/>
      <c r="CV147" s="87"/>
      <c r="CW147" s="87"/>
      <c r="CX147" s="87"/>
    </row>
    <row r="148" spans="16:102" x14ac:dyDescent="0.3">
      <c r="P148" s="87"/>
      <c r="Q148" s="87"/>
      <c r="R148" s="87"/>
      <c r="S148" s="87"/>
      <c r="T148" s="87"/>
      <c r="U148" s="87"/>
      <c r="V148" s="87"/>
      <c r="W148" s="87"/>
      <c r="X148" s="88"/>
      <c r="Y148" s="87"/>
      <c r="Z148" s="87"/>
      <c r="AA148" s="87"/>
      <c r="AB148" s="87"/>
      <c r="AC148" s="87"/>
      <c r="AD148" s="87"/>
      <c r="AE148" s="87"/>
      <c r="AF148" s="87"/>
      <c r="AG148" s="88"/>
      <c r="AH148" s="88"/>
      <c r="AI148" s="88"/>
      <c r="AJ148" s="88"/>
      <c r="AK148" s="87"/>
      <c r="AL148" s="87"/>
      <c r="AM148" s="87"/>
      <c r="AN148" s="87"/>
      <c r="AO148" s="87"/>
      <c r="AP148" s="87"/>
      <c r="AQ148" s="87"/>
      <c r="AR148" s="87"/>
      <c r="AS148" s="87"/>
      <c r="AT148" s="87"/>
      <c r="AU148" s="87"/>
      <c r="AV148" s="87"/>
      <c r="AW148" s="87"/>
      <c r="AX148" s="87"/>
      <c r="AY148" s="87"/>
      <c r="AZ148" s="87"/>
      <c r="BA148" s="87"/>
      <c r="BB148" s="87"/>
      <c r="BC148" s="87"/>
      <c r="BD148" s="87"/>
      <c r="BE148" s="87"/>
      <c r="BF148" s="87"/>
      <c r="BG148" s="87"/>
      <c r="BH148" s="87"/>
      <c r="BI148" s="87"/>
      <c r="BJ148" s="87"/>
      <c r="BK148" s="87"/>
      <c r="BL148" s="87"/>
      <c r="BM148" s="87"/>
      <c r="BN148" s="87"/>
      <c r="BO148" s="87"/>
      <c r="BP148" s="87"/>
      <c r="BQ148" s="87"/>
      <c r="BR148" s="87"/>
      <c r="BS148" s="87"/>
      <c r="BT148" s="87"/>
      <c r="BU148" s="87"/>
      <c r="BV148" s="87"/>
      <c r="BW148" s="87"/>
      <c r="BX148" s="87"/>
      <c r="BY148" s="87"/>
      <c r="BZ148" s="87"/>
      <c r="CA148" s="87"/>
      <c r="CB148" s="87"/>
      <c r="CC148" s="87"/>
      <c r="CD148" s="87"/>
      <c r="CE148" s="87"/>
      <c r="CF148" s="87"/>
      <c r="CG148" s="87"/>
      <c r="CH148" s="87"/>
      <c r="CI148" s="87"/>
      <c r="CJ148" s="87"/>
      <c r="CK148" s="87"/>
      <c r="CL148" s="87"/>
      <c r="CM148" s="87"/>
      <c r="CN148" s="87"/>
      <c r="CO148" s="87"/>
      <c r="CP148" s="87"/>
      <c r="CQ148" s="87"/>
      <c r="CR148" s="87"/>
      <c r="CS148" s="87"/>
      <c r="CT148" s="87"/>
      <c r="CU148" s="87"/>
      <c r="CV148" s="87"/>
      <c r="CW148" s="87"/>
      <c r="CX148" s="87"/>
    </row>
    <row r="149" spans="16:102" x14ac:dyDescent="0.3">
      <c r="P149" s="87"/>
      <c r="Q149" s="87"/>
      <c r="R149" s="87"/>
      <c r="S149" s="87"/>
      <c r="T149" s="87"/>
      <c r="U149" s="87"/>
      <c r="V149" s="87"/>
      <c r="W149" s="87"/>
      <c r="X149" s="88"/>
      <c r="Y149" s="87"/>
      <c r="Z149" s="87"/>
      <c r="AA149" s="87"/>
      <c r="AB149" s="87"/>
      <c r="AC149" s="87"/>
      <c r="AD149" s="87"/>
      <c r="AE149" s="87"/>
      <c r="AF149" s="87"/>
      <c r="AG149" s="88"/>
      <c r="AH149" s="88"/>
      <c r="AI149" s="88"/>
      <c r="AJ149" s="88"/>
      <c r="AK149" s="87"/>
      <c r="AL149" s="87"/>
      <c r="AM149" s="87"/>
      <c r="AN149" s="87"/>
      <c r="AO149" s="87"/>
      <c r="AP149" s="87"/>
      <c r="AQ149" s="87"/>
      <c r="AR149" s="87"/>
      <c r="AS149" s="87"/>
      <c r="AT149" s="87"/>
      <c r="AU149" s="87"/>
      <c r="AV149" s="87"/>
      <c r="AW149" s="87"/>
      <c r="AX149" s="87"/>
      <c r="AY149" s="87"/>
      <c r="AZ149" s="87"/>
      <c r="BA149" s="87"/>
      <c r="BB149" s="87"/>
      <c r="BC149" s="87"/>
      <c r="BD149" s="8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7"/>
      <c r="CA149" s="87"/>
      <c r="CB149" s="87"/>
      <c r="CC149" s="87"/>
      <c r="CD149" s="87"/>
      <c r="CE149" s="87"/>
      <c r="CF149" s="87"/>
      <c r="CG149" s="87"/>
      <c r="CH149" s="87"/>
      <c r="CI149" s="87"/>
      <c r="CJ149" s="87"/>
      <c r="CK149" s="87"/>
      <c r="CL149" s="87"/>
      <c r="CM149" s="87"/>
      <c r="CN149" s="87"/>
      <c r="CO149" s="87"/>
      <c r="CP149" s="87"/>
      <c r="CQ149" s="87"/>
      <c r="CR149" s="87"/>
      <c r="CS149" s="87"/>
      <c r="CT149" s="87"/>
      <c r="CU149" s="87"/>
      <c r="CV149" s="87"/>
      <c r="CW149" s="87"/>
      <c r="CX149" s="87"/>
    </row>
    <row r="150" spans="16:102" x14ac:dyDescent="0.3">
      <c r="P150" s="87"/>
      <c r="Q150" s="87"/>
      <c r="R150" s="87"/>
      <c r="S150" s="87"/>
      <c r="T150" s="87"/>
      <c r="U150" s="87"/>
      <c r="V150" s="87"/>
      <c r="W150" s="87"/>
      <c r="X150" s="88"/>
      <c r="Y150" s="87"/>
      <c r="Z150" s="87"/>
      <c r="AA150" s="87"/>
      <c r="AB150" s="87"/>
      <c r="AC150" s="87"/>
      <c r="AD150" s="87"/>
      <c r="AE150" s="87"/>
      <c r="AF150" s="87"/>
      <c r="AG150" s="88"/>
      <c r="AH150" s="88"/>
      <c r="AI150" s="88"/>
      <c r="AJ150" s="88"/>
      <c r="AK150" s="87"/>
      <c r="AL150" s="87"/>
      <c r="AM150" s="87"/>
      <c r="AN150" s="87"/>
      <c r="AO150" s="87"/>
      <c r="AP150" s="87"/>
      <c r="AQ150" s="87"/>
      <c r="AR150" s="87"/>
      <c r="AS150" s="87"/>
      <c r="AT150" s="87"/>
      <c r="AU150" s="87"/>
      <c r="AV150" s="87"/>
      <c r="AW150" s="87"/>
      <c r="AX150" s="87"/>
      <c r="AY150" s="87"/>
      <c r="AZ150" s="87"/>
      <c r="BA150" s="87"/>
      <c r="BB150" s="87"/>
      <c r="BC150" s="87"/>
      <c r="BD150" s="87"/>
      <c r="BE150" s="87"/>
      <c r="BF150" s="87"/>
      <c r="BG150" s="87"/>
      <c r="BH150" s="87"/>
      <c r="BI150" s="87"/>
      <c r="BJ150" s="87"/>
      <c r="BK150" s="87"/>
      <c r="BL150" s="87"/>
      <c r="BM150" s="87"/>
      <c r="BN150" s="87"/>
      <c r="BO150" s="87"/>
      <c r="BP150" s="87"/>
      <c r="BQ150" s="87"/>
      <c r="BR150" s="87"/>
      <c r="BS150" s="87"/>
      <c r="BT150" s="87"/>
      <c r="BU150" s="87"/>
      <c r="BV150" s="87"/>
      <c r="BW150" s="87"/>
      <c r="BX150" s="87"/>
      <c r="BY150" s="87"/>
      <c r="BZ150" s="87"/>
      <c r="CA150" s="87"/>
      <c r="CB150" s="87"/>
      <c r="CC150" s="87"/>
      <c r="CD150" s="87"/>
      <c r="CE150" s="87"/>
      <c r="CF150" s="87"/>
      <c r="CG150" s="87"/>
      <c r="CH150" s="87"/>
      <c r="CI150" s="87"/>
      <c r="CJ150" s="87"/>
      <c r="CK150" s="87"/>
      <c r="CL150" s="87"/>
      <c r="CM150" s="87"/>
      <c r="CN150" s="87"/>
      <c r="CO150" s="87"/>
      <c r="CP150" s="87"/>
      <c r="CQ150" s="87"/>
      <c r="CR150" s="87"/>
      <c r="CS150" s="87"/>
      <c r="CT150" s="87"/>
      <c r="CU150" s="87"/>
      <c r="CV150" s="87"/>
      <c r="CW150" s="87"/>
      <c r="CX150" s="87"/>
    </row>
    <row r="151" spans="16:102" x14ac:dyDescent="0.3">
      <c r="P151" s="87"/>
      <c r="Q151" s="87"/>
      <c r="R151" s="87"/>
      <c r="S151" s="87"/>
      <c r="T151" s="87"/>
      <c r="U151" s="87"/>
      <c r="V151" s="87"/>
      <c r="W151" s="87"/>
      <c r="X151" s="88"/>
      <c r="Y151" s="87"/>
      <c r="Z151" s="87"/>
      <c r="AA151" s="87"/>
      <c r="AB151" s="87"/>
      <c r="AC151" s="87"/>
      <c r="AD151" s="87"/>
      <c r="AE151" s="87"/>
      <c r="AF151" s="87"/>
      <c r="AG151" s="88"/>
      <c r="AH151" s="88"/>
      <c r="AI151" s="88"/>
      <c r="AJ151" s="88"/>
      <c r="AK151" s="87"/>
      <c r="AL151" s="87"/>
      <c r="AM151" s="87"/>
      <c r="AN151" s="87"/>
      <c r="AO151" s="87"/>
      <c r="AP151" s="87"/>
      <c r="AQ151" s="87"/>
      <c r="AR151" s="87"/>
      <c r="AS151" s="87"/>
      <c r="AT151" s="87"/>
      <c r="AU151" s="87"/>
      <c r="AV151" s="87"/>
      <c r="AW151" s="87"/>
      <c r="AX151" s="87"/>
      <c r="AY151" s="87"/>
      <c r="AZ151" s="87"/>
      <c r="BA151" s="87"/>
      <c r="BB151" s="87"/>
      <c r="BC151" s="87"/>
      <c r="BD151" s="87"/>
      <c r="BE151" s="87"/>
      <c r="BF151" s="87"/>
      <c r="BG151" s="87"/>
      <c r="BH151" s="87"/>
      <c r="BI151" s="87"/>
      <c r="BJ151" s="87"/>
      <c r="BK151" s="87"/>
      <c r="BL151" s="87"/>
      <c r="BM151" s="87"/>
      <c r="BN151" s="87"/>
      <c r="BO151" s="87"/>
      <c r="BP151" s="87"/>
      <c r="BQ151" s="87"/>
      <c r="BR151" s="87"/>
      <c r="BS151" s="87"/>
      <c r="BT151" s="87"/>
      <c r="BU151" s="87"/>
      <c r="BV151" s="87"/>
      <c r="BW151" s="87"/>
      <c r="BX151" s="87"/>
      <c r="BY151" s="87"/>
      <c r="BZ151" s="87"/>
      <c r="CA151" s="87"/>
      <c r="CB151" s="87"/>
      <c r="CC151" s="87"/>
      <c r="CD151" s="87"/>
      <c r="CE151" s="87"/>
      <c r="CF151" s="87"/>
      <c r="CG151" s="87"/>
      <c r="CH151" s="87"/>
      <c r="CI151" s="87"/>
      <c r="CJ151" s="87"/>
      <c r="CK151" s="87"/>
      <c r="CL151" s="87"/>
      <c r="CM151" s="87"/>
      <c r="CN151" s="87"/>
      <c r="CO151" s="87"/>
      <c r="CP151" s="87"/>
      <c r="CQ151" s="87"/>
      <c r="CR151" s="87"/>
      <c r="CS151" s="87"/>
      <c r="CT151" s="87"/>
      <c r="CU151" s="87"/>
      <c r="CV151" s="87"/>
      <c r="CW151" s="87"/>
      <c r="CX151" s="87"/>
    </row>
    <row r="152" spans="16:102" x14ac:dyDescent="0.3">
      <c r="P152" s="87"/>
      <c r="Q152" s="87"/>
      <c r="R152" s="87"/>
      <c r="S152" s="87"/>
      <c r="T152" s="87"/>
      <c r="U152" s="87"/>
      <c r="V152" s="87"/>
      <c r="W152" s="87"/>
      <c r="X152" s="88"/>
      <c r="Y152" s="87"/>
      <c r="Z152" s="87"/>
      <c r="AA152" s="87"/>
      <c r="AB152" s="87"/>
      <c r="AC152" s="87"/>
      <c r="AD152" s="87"/>
      <c r="AE152" s="87"/>
      <c r="AF152" s="87"/>
      <c r="AG152" s="88"/>
      <c r="AH152" s="88"/>
      <c r="AI152" s="88"/>
      <c r="AJ152" s="88"/>
      <c r="AK152" s="87"/>
      <c r="AL152" s="87"/>
      <c r="AM152" s="87"/>
      <c r="AN152" s="87"/>
      <c r="AO152" s="87"/>
      <c r="AP152" s="87"/>
      <c r="AQ152" s="87"/>
      <c r="AR152" s="87"/>
      <c r="AS152" s="87"/>
      <c r="AT152" s="87"/>
      <c r="AU152" s="87"/>
      <c r="AV152" s="87"/>
      <c r="AW152" s="87"/>
      <c r="AX152" s="87"/>
      <c r="AY152" s="87"/>
      <c r="AZ152" s="87"/>
      <c r="BA152" s="87"/>
      <c r="BB152" s="87"/>
      <c r="BC152" s="87"/>
      <c r="BD152" s="87"/>
      <c r="BE152" s="87"/>
      <c r="BF152" s="87"/>
      <c r="BG152" s="87"/>
      <c r="BH152" s="87"/>
      <c r="BI152" s="87"/>
      <c r="BJ152" s="87"/>
      <c r="BK152" s="87"/>
      <c r="BL152" s="87"/>
      <c r="BM152" s="87"/>
      <c r="BN152" s="87"/>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7"/>
      <c r="CW152" s="87"/>
      <c r="CX152" s="87"/>
    </row>
    <row r="153" spans="16:102" x14ac:dyDescent="0.3">
      <c r="P153" s="87"/>
      <c r="Q153" s="87"/>
      <c r="R153" s="87"/>
      <c r="S153" s="87"/>
      <c r="T153" s="87"/>
      <c r="U153" s="87"/>
      <c r="V153" s="87"/>
      <c r="W153" s="87"/>
      <c r="X153" s="88"/>
      <c r="Y153" s="87"/>
      <c r="Z153" s="87"/>
      <c r="AA153" s="87"/>
      <c r="AB153" s="87"/>
      <c r="AC153" s="87"/>
      <c r="AD153" s="87"/>
      <c r="AE153" s="87"/>
      <c r="AF153" s="87"/>
      <c r="AG153" s="88"/>
      <c r="AH153" s="88"/>
      <c r="AI153" s="88"/>
      <c r="AJ153" s="88"/>
      <c r="AK153" s="87"/>
      <c r="AL153" s="87"/>
      <c r="AM153" s="87"/>
      <c r="AN153" s="87"/>
      <c r="AO153" s="87"/>
      <c r="AP153" s="87"/>
      <c r="AQ153" s="87"/>
      <c r="AR153" s="87"/>
      <c r="AS153" s="87"/>
      <c r="AT153" s="87"/>
      <c r="AU153" s="87"/>
      <c r="AV153" s="87"/>
      <c r="AW153" s="87"/>
      <c r="AX153" s="87"/>
      <c r="AY153" s="87"/>
      <c r="AZ153" s="87"/>
      <c r="BA153" s="87"/>
      <c r="BB153" s="87"/>
      <c r="BC153" s="87"/>
      <c r="BD153" s="87"/>
      <c r="BE153" s="87"/>
      <c r="BF153" s="87"/>
      <c r="BG153" s="87"/>
      <c r="BH153" s="87"/>
      <c r="BI153" s="87"/>
      <c r="BJ153" s="87"/>
      <c r="BK153" s="87"/>
      <c r="BL153" s="87"/>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c r="CS153" s="87"/>
      <c r="CT153" s="87"/>
      <c r="CU153" s="87"/>
      <c r="CV153" s="87"/>
      <c r="CW153" s="87"/>
      <c r="CX153" s="87"/>
    </row>
    <row r="154" spans="16:102" x14ac:dyDescent="0.3">
      <c r="P154" s="87"/>
      <c r="Q154" s="87"/>
      <c r="R154" s="87"/>
      <c r="S154" s="87"/>
      <c r="T154" s="87"/>
      <c r="U154" s="87"/>
      <c r="V154" s="87"/>
      <c r="W154" s="87"/>
      <c r="X154" s="88"/>
      <c r="Y154" s="87"/>
      <c r="Z154" s="87"/>
      <c r="AA154" s="87"/>
      <c r="AB154" s="87"/>
      <c r="AC154" s="87"/>
      <c r="AD154" s="87"/>
      <c r="AE154" s="87"/>
      <c r="AF154" s="87"/>
      <c r="AG154" s="88"/>
      <c r="AH154" s="88"/>
      <c r="AI154" s="88"/>
      <c r="AJ154" s="88"/>
      <c r="AK154" s="87"/>
      <c r="AL154" s="87"/>
      <c r="AM154" s="87"/>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7"/>
      <c r="CW154" s="87"/>
      <c r="CX154" s="87"/>
    </row>
    <row r="155" spans="16:102" x14ac:dyDescent="0.3">
      <c r="P155" s="87"/>
      <c r="Q155" s="87"/>
      <c r="R155" s="87"/>
      <c r="S155" s="87"/>
      <c r="T155" s="87"/>
      <c r="U155" s="87"/>
      <c r="V155" s="87"/>
      <c r="W155" s="87"/>
      <c r="X155" s="88"/>
      <c r="Y155" s="87"/>
      <c r="Z155" s="87"/>
      <c r="AA155" s="87"/>
      <c r="AB155" s="87"/>
      <c r="AC155" s="87"/>
      <c r="AD155" s="87"/>
      <c r="AE155" s="87"/>
      <c r="AF155" s="87"/>
      <c r="AG155" s="88"/>
      <c r="AH155" s="88"/>
      <c r="AI155" s="88"/>
      <c r="AJ155" s="88"/>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row>
    <row r="156" spans="16:102" x14ac:dyDescent="0.3">
      <c r="P156" s="87"/>
      <c r="Q156" s="87"/>
      <c r="R156" s="87"/>
      <c r="S156" s="87"/>
      <c r="T156" s="87"/>
      <c r="U156" s="87"/>
      <c r="V156" s="87"/>
      <c r="W156" s="87"/>
      <c r="X156" s="88"/>
      <c r="Y156" s="87"/>
      <c r="Z156" s="87"/>
      <c r="AA156" s="87"/>
      <c r="AB156" s="87"/>
      <c r="AC156" s="87"/>
      <c r="AD156" s="87"/>
      <c r="AE156" s="87"/>
      <c r="AF156" s="87"/>
      <c r="AG156" s="88"/>
      <c r="AH156" s="88"/>
      <c r="AI156" s="88"/>
      <c r="AJ156" s="88"/>
      <c r="AK156" s="87"/>
      <c r="AL156" s="87"/>
      <c r="AM156" s="87"/>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7"/>
      <c r="CW156" s="87"/>
      <c r="CX156" s="87"/>
    </row>
    <row r="157" spans="16:102" x14ac:dyDescent="0.3">
      <c r="P157" s="87"/>
      <c r="Q157" s="87"/>
      <c r="R157" s="87"/>
      <c r="S157" s="87"/>
      <c r="T157" s="87"/>
      <c r="U157" s="87"/>
      <c r="V157" s="87"/>
      <c r="W157" s="87"/>
      <c r="X157" s="88"/>
      <c r="Y157" s="87"/>
      <c r="Z157" s="87"/>
      <c r="AA157" s="87"/>
      <c r="AB157" s="87"/>
      <c r="AC157" s="87"/>
      <c r="AD157" s="87"/>
      <c r="AE157" s="87"/>
      <c r="AF157" s="87"/>
      <c r="AG157" s="88"/>
      <c r="AH157" s="88"/>
      <c r="AI157" s="88"/>
      <c r="AJ157" s="88"/>
      <c r="AK157" s="87"/>
      <c r="AL157" s="87"/>
      <c r="AM157" s="87"/>
      <c r="AN157" s="87"/>
      <c r="AO157" s="87"/>
      <c r="AP157" s="87"/>
      <c r="AQ157" s="87"/>
      <c r="AR157" s="87"/>
      <c r="AS157" s="87"/>
      <c r="AT157" s="87"/>
      <c r="AU157" s="87"/>
      <c r="AV157" s="87"/>
      <c r="AW157" s="87"/>
      <c r="AX157" s="87"/>
      <c r="AY157" s="87"/>
      <c r="AZ157" s="87"/>
      <c r="BA157" s="87"/>
      <c r="BB157" s="87"/>
      <c r="BC157" s="87"/>
      <c r="BD157" s="87"/>
      <c r="BE157" s="87"/>
      <c r="BF157" s="87"/>
      <c r="BG157" s="87"/>
      <c r="BH157" s="87"/>
      <c r="BI157" s="87"/>
      <c r="BJ157" s="87"/>
      <c r="BK157" s="87"/>
      <c r="BL157" s="87"/>
      <c r="BM157" s="87"/>
      <c r="BN157" s="87"/>
      <c r="BO157" s="87"/>
      <c r="BP157" s="87"/>
      <c r="BQ157" s="87"/>
      <c r="BR157" s="87"/>
      <c r="BS157" s="87"/>
      <c r="BT157" s="87"/>
      <c r="BU157" s="87"/>
      <c r="BV157" s="87"/>
      <c r="BW157" s="87"/>
      <c r="BX157" s="87"/>
      <c r="BY157" s="87"/>
      <c r="BZ157" s="87"/>
      <c r="CA157" s="87"/>
      <c r="CB157" s="87"/>
      <c r="CC157" s="87"/>
      <c r="CD157" s="87"/>
      <c r="CE157" s="87"/>
      <c r="CF157" s="87"/>
      <c r="CG157" s="87"/>
      <c r="CH157" s="87"/>
      <c r="CI157" s="87"/>
      <c r="CJ157" s="87"/>
      <c r="CK157" s="87"/>
      <c r="CL157" s="87"/>
      <c r="CM157" s="87"/>
      <c r="CN157" s="87"/>
      <c r="CO157" s="87"/>
      <c r="CP157" s="87"/>
      <c r="CQ157" s="87"/>
      <c r="CR157" s="87"/>
      <c r="CS157" s="87"/>
      <c r="CT157" s="87"/>
      <c r="CU157" s="87"/>
      <c r="CV157" s="87"/>
      <c r="CW157" s="87"/>
      <c r="CX157" s="87"/>
    </row>
    <row r="158" spans="16:102" x14ac:dyDescent="0.3">
      <c r="P158" s="87"/>
      <c r="Q158" s="87"/>
      <c r="R158" s="87"/>
      <c r="S158" s="87"/>
      <c r="T158" s="87"/>
      <c r="U158" s="87"/>
      <c r="V158" s="87"/>
      <c r="W158" s="87"/>
      <c r="X158" s="88"/>
      <c r="Y158" s="87"/>
      <c r="Z158" s="87"/>
      <c r="AA158" s="87"/>
      <c r="AB158" s="87"/>
      <c r="AC158" s="87"/>
      <c r="AD158" s="87"/>
      <c r="AE158" s="87"/>
      <c r="AF158" s="87"/>
      <c r="AG158" s="88"/>
      <c r="AH158" s="88"/>
      <c r="AI158" s="88"/>
      <c r="AJ158" s="88"/>
      <c r="AK158" s="87"/>
      <c r="AL158" s="87"/>
      <c r="AM158" s="87"/>
      <c r="AN158" s="87"/>
      <c r="AO158" s="87"/>
      <c r="AP158" s="87"/>
      <c r="AQ158" s="87"/>
      <c r="AR158" s="87"/>
      <c r="AS158" s="87"/>
      <c r="AT158" s="87"/>
      <c r="AU158" s="87"/>
      <c r="AV158" s="87"/>
      <c r="AW158" s="87"/>
      <c r="AX158" s="87"/>
      <c r="AY158" s="87"/>
      <c r="AZ158" s="87"/>
      <c r="BA158" s="87"/>
      <c r="BB158" s="87"/>
      <c r="BC158" s="87"/>
      <c r="BD158" s="87"/>
      <c r="BE158" s="87"/>
      <c r="BF158" s="87"/>
      <c r="BG158" s="87"/>
      <c r="BH158" s="87"/>
      <c r="BI158" s="87"/>
      <c r="BJ158" s="87"/>
      <c r="BK158" s="87"/>
      <c r="BL158" s="87"/>
      <c r="BM158" s="87"/>
      <c r="BN158" s="87"/>
      <c r="BO158" s="87"/>
      <c r="BP158" s="87"/>
      <c r="BQ158" s="87"/>
      <c r="BR158" s="87"/>
      <c r="BS158" s="87"/>
      <c r="BT158" s="87"/>
      <c r="BU158" s="87"/>
      <c r="BV158" s="87"/>
      <c r="BW158" s="87"/>
      <c r="BX158" s="87"/>
      <c r="BY158" s="87"/>
      <c r="BZ158" s="87"/>
      <c r="CA158" s="87"/>
      <c r="CB158" s="87"/>
      <c r="CC158" s="87"/>
      <c r="CD158" s="87"/>
      <c r="CE158" s="87"/>
      <c r="CF158" s="87"/>
      <c r="CG158" s="87"/>
      <c r="CH158" s="87"/>
      <c r="CI158" s="87"/>
      <c r="CJ158" s="87"/>
      <c r="CK158" s="87"/>
      <c r="CL158" s="87"/>
      <c r="CM158" s="87"/>
      <c r="CN158" s="87"/>
      <c r="CO158" s="87"/>
      <c r="CP158" s="87"/>
      <c r="CQ158" s="87"/>
      <c r="CR158" s="87"/>
      <c r="CS158" s="87"/>
      <c r="CT158" s="87"/>
      <c r="CU158" s="87"/>
      <c r="CV158" s="87"/>
      <c r="CW158" s="87"/>
      <c r="CX158" s="87"/>
    </row>
    <row r="159" spans="16:102" x14ac:dyDescent="0.3">
      <c r="P159" s="87"/>
      <c r="Q159" s="87"/>
      <c r="R159" s="87"/>
      <c r="S159" s="87"/>
      <c r="T159" s="87"/>
      <c r="U159" s="87"/>
      <c r="V159" s="87"/>
      <c r="W159" s="87"/>
      <c r="X159" s="88"/>
      <c r="Y159" s="87"/>
      <c r="Z159" s="87"/>
      <c r="AA159" s="87"/>
      <c r="AB159" s="87"/>
      <c r="AC159" s="87"/>
      <c r="AD159" s="87"/>
      <c r="AE159" s="87"/>
      <c r="AF159" s="87"/>
      <c r="AG159" s="88"/>
      <c r="AH159" s="88"/>
      <c r="AI159" s="88"/>
      <c r="AJ159" s="88"/>
      <c r="AK159" s="87"/>
      <c r="AL159" s="87"/>
      <c r="AM159" s="87"/>
      <c r="AN159" s="87"/>
      <c r="AO159" s="87"/>
      <c r="AP159" s="87"/>
      <c r="AQ159" s="87"/>
      <c r="AR159" s="87"/>
      <c r="AS159" s="87"/>
      <c r="AT159" s="87"/>
      <c r="AU159" s="87"/>
      <c r="AV159" s="87"/>
      <c r="AW159" s="87"/>
      <c r="AX159" s="87"/>
      <c r="AY159" s="87"/>
      <c r="AZ159" s="87"/>
      <c r="BA159" s="87"/>
      <c r="BB159" s="87"/>
      <c r="BC159" s="87"/>
      <c r="BD159" s="87"/>
      <c r="BE159" s="87"/>
      <c r="BF159" s="87"/>
      <c r="BG159" s="87"/>
      <c r="BH159" s="87"/>
      <c r="BI159" s="87"/>
      <c r="BJ159" s="87"/>
      <c r="BK159" s="87"/>
      <c r="BL159" s="87"/>
      <c r="BM159" s="87"/>
      <c r="BN159" s="87"/>
      <c r="BO159" s="87"/>
      <c r="BP159" s="87"/>
      <c r="BQ159" s="87"/>
      <c r="BR159" s="87"/>
      <c r="BS159" s="87"/>
      <c r="BT159" s="87"/>
      <c r="BU159" s="87"/>
      <c r="BV159" s="87"/>
      <c r="BW159" s="87"/>
      <c r="BX159" s="87"/>
      <c r="BY159" s="87"/>
      <c r="BZ159" s="87"/>
      <c r="CA159" s="87"/>
      <c r="CB159" s="87"/>
      <c r="CC159" s="87"/>
      <c r="CD159" s="87"/>
      <c r="CE159" s="87"/>
      <c r="CF159" s="87"/>
      <c r="CG159" s="87"/>
      <c r="CH159" s="87"/>
      <c r="CI159" s="87"/>
      <c r="CJ159" s="87"/>
      <c r="CK159" s="87"/>
      <c r="CL159" s="87"/>
      <c r="CM159" s="87"/>
      <c r="CN159" s="87"/>
      <c r="CO159" s="87"/>
      <c r="CP159" s="87"/>
      <c r="CQ159" s="87"/>
      <c r="CR159" s="87"/>
      <c r="CS159" s="87"/>
      <c r="CT159" s="87"/>
      <c r="CU159" s="87"/>
      <c r="CV159" s="87"/>
      <c r="CW159" s="87"/>
      <c r="CX159" s="87"/>
    </row>
    <row r="160" spans="16:102" x14ac:dyDescent="0.3">
      <c r="P160" s="87"/>
      <c r="Q160" s="87"/>
      <c r="R160" s="87"/>
      <c r="S160" s="87"/>
      <c r="T160" s="87"/>
      <c r="U160" s="87"/>
      <c r="V160" s="87"/>
      <c r="W160" s="87"/>
      <c r="X160" s="88"/>
      <c r="Y160" s="87"/>
      <c r="Z160" s="87"/>
      <c r="AA160" s="87"/>
      <c r="AB160" s="87"/>
      <c r="AC160" s="87"/>
      <c r="AD160" s="87"/>
      <c r="AE160" s="87"/>
      <c r="AF160" s="87"/>
      <c r="AG160" s="88"/>
      <c r="AH160" s="88"/>
      <c r="AI160" s="88"/>
      <c r="AJ160" s="88"/>
      <c r="AK160" s="87"/>
      <c r="AL160" s="87"/>
      <c r="AM160" s="87"/>
      <c r="AN160" s="87"/>
      <c r="AO160" s="87"/>
      <c r="AP160" s="87"/>
      <c r="AQ160" s="87"/>
      <c r="AR160" s="87"/>
      <c r="AS160" s="87"/>
      <c r="AT160" s="87"/>
      <c r="AU160" s="87"/>
      <c r="AV160" s="87"/>
      <c r="AW160" s="87"/>
      <c r="AX160" s="87"/>
      <c r="AY160" s="87"/>
      <c r="AZ160" s="87"/>
      <c r="BA160" s="87"/>
      <c r="BB160" s="87"/>
      <c r="BC160" s="87"/>
      <c r="BD160" s="87"/>
      <c r="BE160" s="87"/>
      <c r="BF160" s="87"/>
      <c r="BG160" s="87"/>
      <c r="BH160" s="87"/>
      <c r="BI160" s="87"/>
      <c r="BJ160" s="87"/>
      <c r="BK160" s="87"/>
      <c r="BL160" s="87"/>
      <c r="BM160" s="87"/>
      <c r="BN160" s="87"/>
      <c r="BO160" s="87"/>
      <c r="BP160" s="87"/>
      <c r="BQ160" s="87"/>
      <c r="BR160" s="87"/>
      <c r="BS160" s="87"/>
      <c r="BT160" s="87"/>
      <c r="BU160" s="87"/>
      <c r="BV160" s="87"/>
      <c r="BW160" s="87"/>
      <c r="BX160" s="87"/>
      <c r="BY160" s="87"/>
      <c r="BZ160" s="87"/>
      <c r="CA160" s="87"/>
      <c r="CB160" s="87"/>
      <c r="CC160" s="87"/>
      <c r="CD160" s="87"/>
      <c r="CE160" s="87"/>
      <c r="CF160" s="87"/>
      <c r="CG160" s="87"/>
      <c r="CH160" s="87"/>
      <c r="CI160" s="87"/>
      <c r="CJ160" s="87"/>
      <c r="CK160" s="87"/>
      <c r="CL160" s="87"/>
      <c r="CM160" s="87"/>
      <c r="CN160" s="87"/>
      <c r="CO160" s="87"/>
      <c r="CP160" s="87"/>
      <c r="CQ160" s="87"/>
      <c r="CR160" s="87"/>
      <c r="CS160" s="87"/>
      <c r="CT160" s="87"/>
      <c r="CU160" s="87"/>
      <c r="CV160" s="87"/>
      <c r="CW160" s="87"/>
      <c r="CX160" s="87"/>
    </row>
    <row r="161" spans="16:102" x14ac:dyDescent="0.3">
      <c r="P161" s="87"/>
      <c r="Q161" s="87"/>
      <c r="R161" s="87"/>
      <c r="S161" s="87"/>
      <c r="T161" s="87"/>
      <c r="U161" s="87"/>
      <c r="V161" s="87"/>
      <c r="W161" s="87"/>
      <c r="X161" s="88"/>
      <c r="Y161" s="87"/>
      <c r="Z161" s="87"/>
      <c r="AA161" s="87"/>
      <c r="AB161" s="87"/>
      <c r="AC161" s="87"/>
      <c r="AD161" s="87"/>
      <c r="AE161" s="87"/>
      <c r="AF161" s="87"/>
      <c r="AG161" s="88"/>
      <c r="AH161" s="88"/>
      <c r="AI161" s="88"/>
      <c r="AJ161" s="88"/>
      <c r="AK161" s="87"/>
      <c r="AL161" s="87"/>
      <c r="AM161" s="87"/>
      <c r="AN161" s="87"/>
      <c r="AO161" s="87"/>
      <c r="AP161" s="87"/>
      <c r="AQ161" s="87"/>
      <c r="AR161" s="87"/>
      <c r="AS161" s="87"/>
      <c r="AT161" s="87"/>
      <c r="AU161" s="87"/>
      <c r="AV161" s="87"/>
      <c r="AW161" s="87"/>
      <c r="AX161" s="87"/>
      <c r="AY161" s="87"/>
      <c r="AZ161" s="87"/>
      <c r="BA161" s="87"/>
      <c r="BB161" s="87"/>
      <c r="BC161" s="87"/>
      <c r="BD161" s="87"/>
      <c r="BE161" s="87"/>
      <c r="BF161" s="87"/>
      <c r="BG161" s="87"/>
      <c r="BH161" s="87"/>
      <c r="BI161" s="87"/>
      <c r="BJ161" s="87"/>
      <c r="BK161" s="87"/>
      <c r="BL161" s="87"/>
      <c r="BM161" s="87"/>
      <c r="BN161" s="87"/>
      <c r="BO161" s="87"/>
      <c r="BP161" s="87"/>
      <c r="BQ161" s="87"/>
      <c r="BR161" s="87"/>
      <c r="BS161" s="87"/>
      <c r="BT161" s="87"/>
      <c r="BU161" s="87"/>
      <c r="BV161" s="87"/>
      <c r="BW161" s="87"/>
      <c r="BX161" s="87"/>
      <c r="BY161" s="87"/>
      <c r="BZ161" s="87"/>
      <c r="CA161" s="87"/>
      <c r="CB161" s="87"/>
      <c r="CC161" s="87"/>
      <c r="CD161" s="87"/>
      <c r="CE161" s="87"/>
      <c r="CF161" s="87"/>
      <c r="CG161" s="87"/>
      <c r="CH161" s="87"/>
      <c r="CI161" s="87"/>
      <c r="CJ161" s="87"/>
      <c r="CK161" s="87"/>
      <c r="CL161" s="87"/>
      <c r="CM161" s="87"/>
      <c r="CN161" s="87"/>
      <c r="CO161" s="87"/>
      <c r="CP161" s="87"/>
      <c r="CQ161" s="87"/>
      <c r="CR161" s="87"/>
      <c r="CS161" s="87"/>
      <c r="CT161" s="87"/>
      <c r="CU161" s="87"/>
      <c r="CV161" s="87"/>
      <c r="CW161" s="87"/>
      <c r="CX161" s="87"/>
    </row>
    <row r="162" spans="16:102" x14ac:dyDescent="0.3">
      <c r="P162" s="87"/>
      <c r="Q162" s="87"/>
      <c r="R162" s="87"/>
      <c r="S162" s="87"/>
      <c r="T162" s="87"/>
      <c r="U162" s="87"/>
      <c r="V162" s="87"/>
      <c r="W162" s="87"/>
      <c r="X162" s="88"/>
      <c r="Y162" s="87"/>
      <c r="Z162" s="87"/>
      <c r="AA162" s="87"/>
      <c r="AB162" s="87"/>
      <c r="AC162" s="87"/>
      <c r="AD162" s="87"/>
      <c r="AE162" s="87"/>
      <c r="AF162" s="87"/>
      <c r="AG162" s="88"/>
      <c r="AH162" s="88"/>
      <c r="AI162" s="88"/>
      <c r="AJ162" s="88"/>
      <c r="AK162" s="87"/>
      <c r="AL162" s="87"/>
      <c r="AM162" s="87"/>
      <c r="AN162" s="87"/>
      <c r="AO162" s="87"/>
      <c r="AP162" s="87"/>
      <c r="AQ162" s="87"/>
      <c r="AR162" s="87"/>
      <c r="AS162" s="87"/>
      <c r="AT162" s="87"/>
      <c r="AU162" s="87"/>
      <c r="AV162" s="87"/>
      <c r="AW162" s="87"/>
      <c r="AX162" s="87"/>
      <c r="AY162" s="87"/>
      <c r="AZ162" s="87"/>
      <c r="BA162" s="87"/>
      <c r="BB162" s="87"/>
      <c r="BC162" s="87"/>
      <c r="BD162" s="87"/>
      <c r="BE162" s="87"/>
      <c r="BF162" s="87"/>
      <c r="BG162" s="87"/>
      <c r="BH162" s="87"/>
      <c r="BI162" s="87"/>
      <c r="BJ162" s="87"/>
      <c r="BK162" s="87"/>
      <c r="BL162" s="87"/>
      <c r="BM162" s="87"/>
      <c r="BN162" s="87"/>
      <c r="BO162" s="87"/>
      <c r="BP162" s="87"/>
      <c r="BQ162" s="87"/>
      <c r="BR162" s="87"/>
      <c r="BS162" s="87"/>
      <c r="BT162" s="87"/>
      <c r="BU162" s="87"/>
      <c r="BV162" s="87"/>
      <c r="BW162" s="87"/>
      <c r="BX162" s="87"/>
      <c r="BY162" s="87"/>
      <c r="BZ162" s="87"/>
      <c r="CA162" s="87"/>
      <c r="CB162" s="87"/>
      <c r="CC162" s="87"/>
      <c r="CD162" s="87"/>
      <c r="CE162" s="87"/>
      <c r="CF162" s="87"/>
      <c r="CG162" s="87"/>
      <c r="CH162" s="87"/>
      <c r="CI162" s="87"/>
      <c r="CJ162" s="87"/>
      <c r="CK162" s="87"/>
      <c r="CL162" s="87"/>
      <c r="CM162" s="87"/>
      <c r="CN162" s="87"/>
      <c r="CO162" s="87"/>
      <c r="CP162" s="87"/>
      <c r="CQ162" s="87"/>
      <c r="CR162" s="87"/>
      <c r="CS162" s="87"/>
      <c r="CT162" s="87"/>
      <c r="CU162" s="87"/>
      <c r="CV162" s="87"/>
      <c r="CW162" s="87"/>
      <c r="CX162" s="87"/>
    </row>
    <row r="163" spans="16:102" x14ac:dyDescent="0.3">
      <c r="P163" s="87"/>
      <c r="Q163" s="87"/>
      <c r="R163" s="87"/>
      <c r="S163" s="87"/>
      <c r="T163" s="87"/>
      <c r="U163" s="87"/>
      <c r="V163" s="87"/>
      <c r="W163" s="87"/>
      <c r="X163" s="88"/>
      <c r="Y163" s="87"/>
      <c r="Z163" s="87"/>
      <c r="AA163" s="87"/>
      <c r="AB163" s="87"/>
      <c r="AC163" s="87"/>
      <c r="AD163" s="87"/>
      <c r="AE163" s="87"/>
      <c r="AF163" s="87"/>
      <c r="AG163" s="88"/>
      <c r="AH163" s="88"/>
      <c r="AI163" s="88"/>
      <c r="AJ163" s="88"/>
      <c r="AK163" s="87"/>
      <c r="AL163" s="87"/>
      <c r="AM163" s="87"/>
      <c r="AN163" s="87"/>
      <c r="AO163" s="87"/>
      <c r="AP163" s="87"/>
      <c r="AQ163" s="87"/>
      <c r="AR163" s="87"/>
      <c r="AS163" s="87"/>
      <c r="AT163" s="87"/>
      <c r="AU163" s="87"/>
      <c r="AV163" s="87"/>
      <c r="AW163" s="87"/>
      <c r="AX163" s="87"/>
      <c r="AY163" s="87"/>
      <c r="AZ163" s="87"/>
      <c r="BA163" s="87"/>
      <c r="BB163" s="87"/>
      <c r="BC163" s="87"/>
      <c r="BD163" s="87"/>
      <c r="BE163" s="87"/>
      <c r="BF163" s="87"/>
      <c r="BG163" s="87"/>
      <c r="BH163" s="87"/>
      <c r="BI163" s="87"/>
      <c r="BJ163" s="87"/>
      <c r="BK163" s="87"/>
      <c r="BL163" s="87"/>
      <c r="BM163" s="87"/>
      <c r="BN163" s="87"/>
      <c r="BO163" s="87"/>
      <c r="BP163" s="87"/>
      <c r="BQ163" s="87"/>
      <c r="BR163" s="87"/>
      <c r="BS163" s="87"/>
      <c r="BT163" s="87"/>
      <c r="BU163" s="87"/>
      <c r="BV163" s="87"/>
      <c r="BW163" s="87"/>
      <c r="BX163" s="87"/>
      <c r="BY163" s="87"/>
      <c r="BZ163" s="87"/>
      <c r="CA163" s="87"/>
      <c r="CB163" s="87"/>
      <c r="CC163" s="87"/>
      <c r="CD163" s="87"/>
      <c r="CE163" s="87"/>
      <c r="CF163" s="87"/>
      <c r="CG163" s="87"/>
      <c r="CH163" s="87"/>
      <c r="CI163" s="87"/>
      <c r="CJ163" s="87"/>
      <c r="CK163" s="87"/>
      <c r="CL163" s="87"/>
      <c r="CM163" s="87"/>
      <c r="CN163" s="87"/>
      <c r="CO163" s="87"/>
      <c r="CP163" s="87"/>
      <c r="CQ163" s="87"/>
      <c r="CR163" s="87"/>
      <c r="CS163" s="87"/>
      <c r="CT163" s="87"/>
      <c r="CU163" s="87"/>
      <c r="CV163" s="87"/>
      <c r="CW163" s="87"/>
      <c r="CX163" s="87"/>
    </row>
    <row r="164" spans="16:102" x14ac:dyDescent="0.3">
      <c r="P164" s="87"/>
      <c r="Q164" s="87"/>
      <c r="R164" s="87"/>
      <c r="S164" s="87"/>
      <c r="T164" s="87"/>
      <c r="U164" s="87"/>
      <c r="V164" s="87"/>
      <c r="W164" s="87"/>
      <c r="X164" s="88"/>
      <c r="Y164" s="87"/>
      <c r="Z164" s="87"/>
      <c r="AA164" s="87"/>
      <c r="AB164" s="87"/>
      <c r="AC164" s="87"/>
      <c r="AD164" s="87"/>
      <c r="AE164" s="87"/>
      <c r="AF164" s="87"/>
      <c r="AG164" s="88"/>
      <c r="AH164" s="88"/>
      <c r="AI164" s="88"/>
      <c r="AJ164" s="88"/>
      <c r="AK164" s="87"/>
      <c r="AL164" s="87"/>
      <c r="AM164" s="87"/>
      <c r="AN164" s="87"/>
      <c r="AO164" s="87"/>
      <c r="AP164" s="87"/>
      <c r="AQ164" s="87"/>
      <c r="AR164" s="87"/>
      <c r="AS164" s="87"/>
      <c r="AT164" s="87"/>
      <c r="AU164" s="87"/>
      <c r="AV164" s="87"/>
      <c r="AW164" s="87"/>
      <c r="AX164" s="87"/>
      <c r="AY164" s="87"/>
      <c r="AZ164" s="87"/>
      <c r="BA164" s="87"/>
      <c r="BB164" s="87"/>
      <c r="BC164" s="87"/>
      <c r="BD164" s="87"/>
      <c r="BE164" s="87"/>
      <c r="BF164" s="87"/>
      <c r="BG164" s="87"/>
      <c r="BH164" s="87"/>
      <c r="BI164" s="87"/>
      <c r="BJ164" s="87"/>
      <c r="BK164" s="87"/>
      <c r="BL164" s="87"/>
      <c r="BM164" s="87"/>
      <c r="BN164" s="87"/>
      <c r="BO164" s="87"/>
      <c r="BP164" s="87"/>
      <c r="BQ164" s="87"/>
      <c r="BR164" s="87"/>
      <c r="BS164" s="87"/>
      <c r="BT164" s="87"/>
      <c r="BU164" s="87"/>
      <c r="BV164" s="87"/>
      <c r="BW164" s="87"/>
      <c r="BX164" s="87"/>
      <c r="BY164" s="87"/>
      <c r="BZ164" s="87"/>
      <c r="CA164" s="87"/>
      <c r="CB164" s="87"/>
      <c r="CC164" s="87"/>
      <c r="CD164" s="87"/>
      <c r="CE164" s="87"/>
      <c r="CF164" s="87"/>
      <c r="CG164" s="87"/>
      <c r="CH164" s="87"/>
      <c r="CI164" s="87"/>
      <c r="CJ164" s="87"/>
      <c r="CK164" s="87"/>
      <c r="CL164" s="87"/>
      <c r="CM164" s="87"/>
      <c r="CN164" s="87"/>
      <c r="CO164" s="87"/>
      <c r="CP164" s="87"/>
      <c r="CQ164" s="87"/>
      <c r="CR164" s="87"/>
      <c r="CS164" s="87"/>
      <c r="CT164" s="87"/>
      <c r="CU164" s="87"/>
      <c r="CV164" s="87"/>
      <c r="CW164" s="87"/>
      <c r="CX164" s="87"/>
    </row>
    <row r="165" spans="16:102" x14ac:dyDescent="0.3">
      <c r="P165" s="87"/>
      <c r="Q165" s="87"/>
      <c r="R165" s="87"/>
      <c r="S165" s="87"/>
      <c r="T165" s="87"/>
      <c r="U165" s="87"/>
      <c r="V165" s="87"/>
      <c r="W165" s="87"/>
      <c r="X165" s="88"/>
      <c r="Y165" s="87"/>
      <c r="Z165" s="87"/>
      <c r="AA165" s="87"/>
      <c r="AB165" s="87"/>
      <c r="AC165" s="87"/>
      <c r="AD165" s="87"/>
      <c r="AE165" s="87"/>
      <c r="AF165" s="87"/>
      <c r="AG165" s="88"/>
      <c r="AH165" s="88"/>
      <c r="AI165" s="88"/>
      <c r="AJ165" s="88"/>
      <c r="AK165" s="87"/>
      <c r="AL165" s="87"/>
      <c r="AM165" s="87"/>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87"/>
      <c r="BY165" s="87"/>
      <c r="BZ165" s="87"/>
      <c r="CA165" s="87"/>
      <c r="CB165" s="87"/>
      <c r="CC165" s="87"/>
      <c r="CD165" s="87"/>
      <c r="CE165" s="87"/>
      <c r="CF165" s="87"/>
      <c r="CG165" s="87"/>
      <c r="CH165" s="87"/>
      <c r="CI165" s="87"/>
      <c r="CJ165" s="87"/>
      <c r="CK165" s="87"/>
      <c r="CL165" s="87"/>
      <c r="CM165" s="87"/>
      <c r="CN165" s="87"/>
      <c r="CO165" s="87"/>
      <c r="CP165" s="87"/>
      <c r="CQ165" s="87"/>
      <c r="CR165" s="87"/>
      <c r="CS165" s="87"/>
      <c r="CT165" s="87"/>
      <c r="CU165" s="87"/>
      <c r="CV165" s="87"/>
      <c r="CW165" s="87"/>
      <c r="CX165" s="87"/>
    </row>
    <row r="166" spans="16:102" x14ac:dyDescent="0.3">
      <c r="P166" s="87"/>
      <c r="Q166" s="87"/>
      <c r="R166" s="87"/>
      <c r="S166" s="87"/>
      <c r="T166" s="87"/>
      <c r="U166" s="87"/>
      <c r="V166" s="87"/>
      <c r="W166" s="87"/>
      <c r="X166" s="88"/>
      <c r="Y166" s="87"/>
      <c r="Z166" s="87"/>
      <c r="AA166" s="87"/>
      <c r="AB166" s="87"/>
      <c r="AC166" s="87"/>
      <c r="AD166" s="87"/>
      <c r="AE166" s="87"/>
      <c r="AF166" s="87"/>
      <c r="AG166" s="88"/>
      <c r="AH166" s="88"/>
      <c r="AI166" s="88"/>
      <c r="AJ166" s="88"/>
      <c r="AK166" s="87"/>
      <c r="AL166" s="87"/>
      <c r="AM166" s="87"/>
      <c r="AN166" s="87"/>
      <c r="AO166" s="87"/>
      <c r="AP166" s="87"/>
      <c r="AQ166" s="87"/>
      <c r="AR166" s="87"/>
      <c r="AS166" s="87"/>
      <c r="AT166" s="87"/>
      <c r="AU166" s="87"/>
      <c r="AV166" s="87"/>
      <c r="AW166" s="87"/>
      <c r="AX166" s="87"/>
      <c r="AY166" s="87"/>
      <c r="AZ166" s="87"/>
      <c r="BA166" s="87"/>
      <c r="BB166" s="87"/>
      <c r="BC166" s="87"/>
      <c r="BD166" s="87"/>
      <c r="BE166" s="87"/>
      <c r="BF166" s="87"/>
      <c r="BG166" s="87"/>
      <c r="BH166" s="87"/>
      <c r="BI166" s="87"/>
      <c r="BJ166" s="87"/>
      <c r="BK166" s="87"/>
      <c r="BL166" s="87"/>
      <c r="BM166" s="87"/>
      <c r="BN166" s="87"/>
      <c r="BO166" s="87"/>
      <c r="BP166" s="87"/>
      <c r="BQ166" s="87"/>
      <c r="BR166" s="87"/>
      <c r="BS166" s="87"/>
      <c r="BT166" s="87"/>
      <c r="BU166" s="87"/>
      <c r="BV166" s="87"/>
      <c r="BW166" s="87"/>
      <c r="BX166" s="87"/>
      <c r="BY166" s="87"/>
      <c r="BZ166" s="87"/>
      <c r="CA166" s="87"/>
      <c r="CB166" s="87"/>
      <c r="CC166" s="87"/>
      <c r="CD166" s="87"/>
      <c r="CE166" s="87"/>
      <c r="CF166" s="87"/>
      <c r="CG166" s="87"/>
      <c r="CH166" s="87"/>
      <c r="CI166" s="87"/>
      <c r="CJ166" s="87"/>
      <c r="CK166" s="87"/>
      <c r="CL166" s="87"/>
      <c r="CM166" s="87"/>
      <c r="CN166" s="87"/>
      <c r="CO166" s="87"/>
      <c r="CP166" s="87"/>
      <c r="CQ166" s="87"/>
      <c r="CR166" s="87"/>
      <c r="CS166" s="87"/>
      <c r="CT166" s="87"/>
      <c r="CU166" s="87"/>
      <c r="CV166" s="87"/>
      <c r="CW166" s="87"/>
      <c r="CX166" s="87"/>
    </row>
    <row r="167" spans="16:102" x14ac:dyDescent="0.3">
      <c r="P167" s="87"/>
      <c r="Q167" s="87"/>
      <c r="R167" s="87"/>
      <c r="S167" s="87"/>
      <c r="T167" s="87"/>
      <c r="U167" s="87"/>
      <c r="V167" s="87"/>
      <c r="W167" s="87"/>
      <c r="X167" s="88"/>
      <c r="Y167" s="87"/>
      <c r="Z167" s="87"/>
      <c r="AA167" s="87"/>
      <c r="AB167" s="87"/>
      <c r="AC167" s="87"/>
      <c r="AD167" s="87"/>
      <c r="AE167" s="87"/>
      <c r="AF167" s="87"/>
      <c r="AG167" s="88"/>
      <c r="AH167" s="88"/>
      <c r="AI167" s="88"/>
      <c r="AJ167" s="88"/>
      <c r="AK167" s="87"/>
      <c r="AL167" s="87"/>
      <c r="AM167" s="87"/>
      <c r="AN167" s="87"/>
      <c r="AO167" s="87"/>
      <c r="AP167" s="87"/>
      <c r="AQ167" s="87"/>
      <c r="AR167" s="87"/>
      <c r="AS167" s="87"/>
      <c r="AT167" s="87"/>
      <c r="AU167" s="87"/>
      <c r="AV167" s="87"/>
      <c r="AW167" s="87"/>
      <c r="AX167" s="87"/>
      <c r="AY167" s="87"/>
      <c r="AZ167" s="87"/>
      <c r="BA167" s="87"/>
      <c r="BB167" s="87"/>
      <c r="BC167" s="87"/>
      <c r="BD167" s="87"/>
      <c r="BE167" s="87"/>
      <c r="BF167" s="87"/>
      <c r="BG167" s="87"/>
      <c r="BH167" s="87"/>
      <c r="BI167" s="87"/>
      <c r="BJ167" s="87"/>
      <c r="BK167" s="87"/>
      <c r="BL167" s="87"/>
      <c r="BM167" s="87"/>
      <c r="BN167" s="87"/>
      <c r="BO167" s="87"/>
      <c r="BP167" s="87"/>
      <c r="BQ167" s="87"/>
      <c r="BR167" s="87"/>
      <c r="BS167" s="87"/>
      <c r="BT167" s="87"/>
      <c r="BU167" s="87"/>
      <c r="BV167" s="87"/>
      <c r="BW167" s="87"/>
      <c r="BX167" s="87"/>
      <c r="BY167" s="87"/>
      <c r="BZ167" s="87"/>
      <c r="CA167" s="87"/>
      <c r="CB167" s="87"/>
      <c r="CC167" s="87"/>
      <c r="CD167" s="87"/>
      <c r="CE167" s="87"/>
      <c r="CF167" s="87"/>
      <c r="CG167" s="87"/>
      <c r="CH167" s="87"/>
      <c r="CI167" s="87"/>
      <c r="CJ167" s="87"/>
      <c r="CK167" s="87"/>
      <c r="CL167" s="87"/>
      <c r="CM167" s="87"/>
      <c r="CN167" s="87"/>
      <c r="CO167" s="87"/>
      <c r="CP167" s="87"/>
      <c r="CQ167" s="87"/>
      <c r="CR167" s="87"/>
      <c r="CS167" s="87"/>
      <c r="CT167" s="87"/>
      <c r="CU167" s="87"/>
      <c r="CV167" s="87"/>
      <c r="CW167" s="87"/>
      <c r="CX167" s="87"/>
    </row>
    <row r="168" spans="16:102" x14ac:dyDescent="0.3">
      <c r="P168" s="87"/>
      <c r="Q168" s="87"/>
      <c r="R168" s="87"/>
      <c r="S168" s="87"/>
      <c r="T168" s="87"/>
      <c r="U168" s="87"/>
      <c r="V168" s="87"/>
      <c r="W168" s="87"/>
      <c r="X168" s="88"/>
      <c r="Y168" s="87"/>
      <c r="Z168" s="87"/>
      <c r="AA168" s="87"/>
      <c r="AB168" s="87"/>
      <c r="AC168" s="87"/>
      <c r="AD168" s="87"/>
      <c r="AE168" s="87"/>
      <c r="AF168" s="87"/>
      <c r="AG168" s="88"/>
      <c r="AH168" s="88"/>
      <c r="AI168" s="88"/>
      <c r="AJ168" s="88"/>
      <c r="AK168" s="87"/>
      <c r="AL168" s="87"/>
      <c r="AM168" s="87"/>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7"/>
      <c r="BQ168" s="87"/>
      <c r="BR168" s="87"/>
      <c r="BS168" s="87"/>
      <c r="BT168" s="87"/>
      <c r="BU168" s="87"/>
      <c r="BV168" s="87"/>
      <c r="BW168" s="87"/>
      <c r="BX168" s="87"/>
      <c r="BY168" s="87"/>
      <c r="BZ168" s="87"/>
      <c r="CA168" s="87"/>
      <c r="CB168" s="87"/>
      <c r="CC168" s="87"/>
      <c r="CD168" s="87"/>
      <c r="CE168" s="87"/>
      <c r="CF168" s="87"/>
      <c r="CG168" s="87"/>
      <c r="CH168" s="87"/>
      <c r="CI168" s="87"/>
      <c r="CJ168" s="87"/>
      <c r="CK168" s="87"/>
      <c r="CL168" s="87"/>
      <c r="CM168" s="87"/>
      <c r="CN168" s="87"/>
      <c r="CO168" s="87"/>
      <c r="CP168" s="87"/>
      <c r="CQ168" s="87"/>
      <c r="CR168" s="87"/>
      <c r="CS168" s="87"/>
      <c r="CT168" s="87"/>
      <c r="CU168" s="87"/>
      <c r="CV168" s="87"/>
      <c r="CW168" s="87"/>
      <c r="CX168" s="87"/>
    </row>
    <row r="169" spans="16:102" x14ac:dyDescent="0.3">
      <c r="P169" s="87"/>
      <c r="Q169" s="87"/>
      <c r="R169" s="87"/>
      <c r="S169" s="87"/>
      <c r="T169" s="87"/>
      <c r="U169" s="87"/>
      <c r="V169" s="87"/>
      <c r="W169" s="87"/>
      <c r="X169" s="88"/>
      <c r="Y169" s="87"/>
      <c r="Z169" s="87"/>
      <c r="AA169" s="87"/>
      <c r="AB169" s="87"/>
      <c r="AC169" s="87"/>
      <c r="AD169" s="87"/>
      <c r="AE169" s="87"/>
      <c r="AF169" s="87"/>
      <c r="AG169" s="88"/>
      <c r="AH169" s="88"/>
      <c r="AI169" s="88"/>
      <c r="AJ169" s="88"/>
      <c r="AK169" s="87"/>
      <c r="AL169" s="87"/>
      <c r="AM169" s="87"/>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87"/>
      <c r="BR169" s="87"/>
      <c r="BS169" s="87"/>
      <c r="BT169" s="87"/>
      <c r="BU169" s="87"/>
      <c r="BV169" s="87"/>
      <c r="BW169" s="87"/>
      <c r="BX169" s="87"/>
      <c r="BY169" s="87"/>
      <c r="BZ169" s="87"/>
      <c r="CA169" s="87"/>
      <c r="CB169" s="87"/>
      <c r="CC169" s="87"/>
      <c r="CD169" s="87"/>
      <c r="CE169" s="87"/>
      <c r="CF169" s="87"/>
      <c r="CG169" s="87"/>
      <c r="CH169" s="87"/>
      <c r="CI169" s="87"/>
      <c r="CJ169" s="87"/>
      <c r="CK169" s="87"/>
      <c r="CL169" s="87"/>
      <c r="CM169" s="87"/>
      <c r="CN169" s="87"/>
      <c r="CO169" s="87"/>
      <c r="CP169" s="87"/>
      <c r="CQ169" s="87"/>
      <c r="CR169" s="87"/>
      <c r="CS169" s="87"/>
      <c r="CT169" s="87"/>
      <c r="CU169" s="87"/>
      <c r="CV169" s="87"/>
      <c r="CW169" s="87"/>
      <c r="CX169" s="87"/>
    </row>
    <row r="170" spans="16:102" x14ac:dyDescent="0.3">
      <c r="P170" s="87"/>
      <c r="Q170" s="87"/>
      <c r="R170" s="87"/>
      <c r="S170" s="87"/>
      <c r="T170" s="87"/>
      <c r="U170" s="87"/>
      <c r="V170" s="87"/>
      <c r="W170" s="87"/>
      <c r="X170" s="88"/>
      <c r="Y170" s="87"/>
      <c r="Z170" s="87"/>
      <c r="AA170" s="87"/>
      <c r="AB170" s="87"/>
      <c r="AC170" s="87"/>
      <c r="AD170" s="87"/>
      <c r="AE170" s="87"/>
      <c r="AF170" s="87"/>
      <c r="AG170" s="88"/>
      <c r="AH170" s="88"/>
      <c r="AI170" s="88"/>
      <c r="AJ170" s="88"/>
      <c r="AK170" s="87"/>
      <c r="AL170" s="87"/>
      <c r="AM170" s="87"/>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87"/>
      <c r="BR170" s="87"/>
      <c r="BS170" s="87"/>
      <c r="BT170" s="87"/>
      <c r="BU170" s="87"/>
      <c r="BV170" s="87"/>
      <c r="BW170" s="87"/>
      <c r="BX170" s="87"/>
      <c r="BY170" s="87"/>
      <c r="BZ170" s="87"/>
      <c r="CA170" s="87"/>
      <c r="CB170" s="87"/>
      <c r="CC170" s="87"/>
      <c r="CD170" s="87"/>
      <c r="CE170" s="87"/>
      <c r="CF170" s="87"/>
      <c r="CG170" s="87"/>
      <c r="CH170" s="87"/>
      <c r="CI170" s="87"/>
      <c r="CJ170" s="87"/>
      <c r="CK170" s="87"/>
      <c r="CL170" s="87"/>
      <c r="CM170" s="87"/>
      <c r="CN170" s="87"/>
      <c r="CO170" s="87"/>
      <c r="CP170" s="87"/>
      <c r="CQ170" s="87"/>
      <c r="CR170" s="87"/>
      <c r="CS170" s="87"/>
      <c r="CT170" s="87"/>
      <c r="CU170" s="87"/>
      <c r="CV170" s="87"/>
      <c r="CW170" s="87"/>
      <c r="CX170" s="87"/>
    </row>
    <row r="171" spans="16:102" x14ac:dyDescent="0.3">
      <c r="P171" s="87"/>
      <c r="Q171" s="87"/>
      <c r="R171" s="87"/>
      <c r="S171" s="87"/>
      <c r="T171" s="87"/>
      <c r="U171" s="87"/>
      <c r="V171" s="87"/>
      <c r="W171" s="87"/>
      <c r="X171" s="88"/>
      <c r="Y171" s="87"/>
      <c r="Z171" s="87"/>
      <c r="AA171" s="87"/>
      <c r="AB171" s="87"/>
      <c r="AC171" s="87"/>
      <c r="AD171" s="87"/>
      <c r="AE171" s="87"/>
      <c r="AF171" s="87"/>
      <c r="AG171" s="88"/>
      <c r="AH171" s="88"/>
      <c r="AI171" s="88"/>
      <c r="AJ171" s="88"/>
      <c r="AK171" s="87"/>
      <c r="AL171" s="87"/>
      <c r="AM171" s="87"/>
      <c r="AN171" s="87"/>
      <c r="AO171" s="87"/>
      <c r="AP171" s="87"/>
      <c r="AQ171" s="87"/>
      <c r="AR171" s="87"/>
      <c r="AS171" s="87"/>
      <c r="AT171" s="87"/>
      <c r="AU171" s="87"/>
      <c r="AV171" s="87"/>
      <c r="AW171" s="87"/>
      <c r="AX171" s="87"/>
      <c r="AY171" s="87"/>
      <c r="AZ171" s="87"/>
      <c r="BA171" s="87"/>
      <c r="BB171" s="87"/>
      <c r="BC171" s="87"/>
      <c r="BD171" s="87"/>
      <c r="BE171" s="87"/>
      <c r="BF171" s="87"/>
      <c r="BG171" s="87"/>
      <c r="BH171" s="87"/>
      <c r="BI171" s="87"/>
      <c r="BJ171" s="87"/>
      <c r="BK171" s="87"/>
      <c r="BL171" s="87"/>
      <c r="BM171" s="87"/>
      <c r="BN171" s="87"/>
      <c r="BO171" s="87"/>
      <c r="BP171" s="87"/>
      <c r="BQ171" s="87"/>
      <c r="BR171" s="87"/>
      <c r="BS171" s="87"/>
      <c r="BT171" s="87"/>
      <c r="BU171" s="87"/>
      <c r="BV171" s="87"/>
      <c r="BW171" s="87"/>
      <c r="BX171" s="87"/>
      <c r="BY171" s="87"/>
      <c r="BZ171" s="87"/>
      <c r="CA171" s="87"/>
      <c r="CB171" s="87"/>
      <c r="CC171" s="87"/>
      <c r="CD171" s="87"/>
      <c r="CE171" s="87"/>
      <c r="CF171" s="87"/>
      <c r="CG171" s="87"/>
      <c r="CH171" s="87"/>
      <c r="CI171" s="87"/>
      <c r="CJ171" s="87"/>
      <c r="CK171" s="87"/>
      <c r="CL171" s="87"/>
      <c r="CM171" s="87"/>
      <c r="CN171" s="87"/>
      <c r="CO171" s="87"/>
      <c r="CP171" s="87"/>
      <c r="CQ171" s="87"/>
      <c r="CR171" s="87"/>
      <c r="CS171" s="87"/>
      <c r="CT171" s="87"/>
      <c r="CU171" s="87"/>
      <c r="CV171" s="87"/>
      <c r="CW171" s="87"/>
      <c r="CX171" s="87"/>
    </row>
    <row r="172" spans="16:102" x14ac:dyDescent="0.3">
      <c r="P172" s="87"/>
      <c r="Q172" s="87"/>
      <c r="R172" s="87"/>
      <c r="S172" s="87"/>
      <c r="T172" s="87"/>
      <c r="U172" s="87"/>
      <c r="V172" s="87"/>
      <c r="W172" s="87"/>
      <c r="X172" s="88"/>
      <c r="Y172" s="87"/>
      <c r="Z172" s="87"/>
      <c r="AA172" s="87"/>
      <c r="AB172" s="87"/>
      <c r="AC172" s="87"/>
      <c r="AD172" s="87"/>
      <c r="AE172" s="87"/>
      <c r="AF172" s="87"/>
      <c r="AG172" s="88"/>
      <c r="AH172" s="88"/>
      <c r="AI172" s="88"/>
      <c r="AJ172" s="88"/>
      <c r="AK172" s="87"/>
      <c r="AL172" s="87"/>
      <c r="AM172" s="87"/>
      <c r="AN172" s="87"/>
      <c r="AO172" s="87"/>
      <c r="AP172" s="87"/>
      <c r="AQ172" s="87"/>
      <c r="AR172" s="87"/>
      <c r="AS172" s="87"/>
      <c r="AT172" s="87"/>
      <c r="AU172" s="87"/>
      <c r="AV172" s="87"/>
      <c r="AW172" s="87"/>
      <c r="AX172" s="87"/>
      <c r="AY172" s="87"/>
      <c r="AZ172" s="87"/>
      <c r="BA172" s="87"/>
      <c r="BB172" s="87"/>
      <c r="BC172" s="87"/>
      <c r="BD172" s="87"/>
      <c r="BE172" s="87"/>
      <c r="BF172" s="87"/>
      <c r="BG172" s="87"/>
      <c r="BH172" s="87"/>
      <c r="BI172" s="87"/>
      <c r="BJ172" s="87"/>
      <c r="BK172" s="87"/>
      <c r="BL172" s="87"/>
      <c r="BM172" s="87"/>
      <c r="BN172" s="87"/>
      <c r="BO172" s="87"/>
      <c r="BP172" s="87"/>
      <c r="BQ172" s="87"/>
      <c r="BR172" s="87"/>
      <c r="BS172" s="87"/>
      <c r="BT172" s="87"/>
      <c r="BU172" s="87"/>
      <c r="BV172" s="87"/>
      <c r="BW172" s="87"/>
      <c r="BX172" s="87"/>
      <c r="BY172" s="87"/>
      <c r="BZ172" s="87"/>
      <c r="CA172" s="87"/>
      <c r="CB172" s="87"/>
      <c r="CC172" s="87"/>
      <c r="CD172" s="87"/>
      <c r="CE172" s="87"/>
      <c r="CF172" s="87"/>
      <c r="CG172" s="87"/>
      <c r="CH172" s="87"/>
      <c r="CI172" s="87"/>
      <c r="CJ172" s="87"/>
      <c r="CK172" s="87"/>
      <c r="CL172" s="87"/>
      <c r="CM172" s="87"/>
      <c r="CN172" s="87"/>
      <c r="CO172" s="87"/>
      <c r="CP172" s="87"/>
      <c r="CQ172" s="87"/>
      <c r="CR172" s="87"/>
      <c r="CS172" s="87"/>
      <c r="CT172" s="87"/>
      <c r="CU172" s="87"/>
      <c r="CV172" s="87"/>
      <c r="CW172" s="87"/>
      <c r="CX172" s="87"/>
    </row>
    <row r="173" spans="16:102" x14ac:dyDescent="0.3">
      <c r="P173" s="87"/>
      <c r="Q173" s="87"/>
      <c r="R173" s="87"/>
      <c r="S173" s="87"/>
      <c r="T173" s="87"/>
      <c r="U173" s="87"/>
      <c r="V173" s="87"/>
      <c r="W173" s="87"/>
      <c r="X173" s="88"/>
      <c r="Y173" s="87"/>
      <c r="Z173" s="87"/>
      <c r="AA173" s="87"/>
      <c r="AB173" s="87"/>
      <c r="AC173" s="87"/>
      <c r="AD173" s="87"/>
      <c r="AE173" s="87"/>
      <c r="AF173" s="87"/>
      <c r="AG173" s="88"/>
      <c r="AH173" s="88"/>
      <c r="AI173" s="88"/>
      <c r="AJ173" s="88"/>
      <c r="AK173" s="87"/>
      <c r="AL173" s="87"/>
      <c r="AM173" s="87"/>
      <c r="AN173" s="87"/>
      <c r="AO173" s="87"/>
      <c r="AP173" s="87"/>
      <c r="AQ173" s="87"/>
      <c r="AR173" s="87"/>
      <c r="AS173" s="87"/>
      <c r="AT173" s="87"/>
      <c r="AU173" s="87"/>
      <c r="AV173" s="87"/>
      <c r="AW173" s="87"/>
      <c r="AX173" s="87"/>
      <c r="AY173" s="87"/>
      <c r="AZ173" s="87"/>
      <c r="BA173" s="87"/>
      <c r="BB173" s="87"/>
      <c r="BC173" s="87"/>
      <c r="BD173" s="87"/>
      <c r="BE173" s="87"/>
      <c r="BF173" s="87"/>
      <c r="BG173" s="87"/>
      <c r="BH173" s="87"/>
      <c r="BI173" s="87"/>
      <c r="BJ173" s="87"/>
      <c r="BK173" s="87"/>
      <c r="BL173" s="87"/>
      <c r="BM173" s="87"/>
      <c r="BN173" s="87"/>
      <c r="BO173" s="87"/>
      <c r="BP173" s="87"/>
      <c r="BQ173" s="87"/>
      <c r="BR173" s="87"/>
      <c r="BS173" s="87"/>
      <c r="BT173" s="87"/>
      <c r="BU173" s="87"/>
      <c r="BV173" s="87"/>
      <c r="BW173" s="87"/>
      <c r="BX173" s="87"/>
      <c r="BY173" s="87"/>
      <c r="BZ173" s="87"/>
      <c r="CA173" s="87"/>
      <c r="CB173" s="87"/>
      <c r="CC173" s="87"/>
      <c r="CD173" s="87"/>
      <c r="CE173" s="87"/>
      <c r="CF173" s="87"/>
      <c r="CG173" s="87"/>
      <c r="CH173" s="87"/>
      <c r="CI173" s="87"/>
      <c r="CJ173" s="87"/>
      <c r="CK173" s="87"/>
      <c r="CL173" s="87"/>
      <c r="CM173" s="87"/>
      <c r="CN173" s="87"/>
      <c r="CO173" s="87"/>
      <c r="CP173" s="87"/>
      <c r="CQ173" s="87"/>
      <c r="CR173" s="87"/>
      <c r="CS173" s="87"/>
      <c r="CT173" s="87"/>
      <c r="CU173" s="87"/>
      <c r="CV173" s="87"/>
      <c r="CW173" s="87"/>
      <c r="CX173" s="87"/>
    </row>
    <row r="174" spans="16:102" x14ac:dyDescent="0.3">
      <c r="P174" s="87"/>
      <c r="Q174" s="87"/>
      <c r="R174" s="87"/>
      <c r="S174" s="87"/>
      <c r="T174" s="87"/>
      <c r="U174" s="87"/>
      <c r="V174" s="87"/>
      <c r="W174" s="87"/>
      <c r="X174" s="88"/>
      <c r="Y174" s="87"/>
      <c r="Z174" s="87"/>
      <c r="AA174" s="87"/>
      <c r="AB174" s="87"/>
      <c r="AC174" s="87"/>
      <c r="AD174" s="87"/>
      <c r="AE174" s="87"/>
      <c r="AF174" s="87"/>
      <c r="AG174" s="88"/>
      <c r="AH174" s="88"/>
      <c r="AI174" s="88"/>
      <c r="AJ174" s="88"/>
      <c r="AK174" s="87"/>
      <c r="AL174" s="87"/>
      <c r="AM174" s="87"/>
      <c r="AN174" s="87"/>
      <c r="AO174" s="87"/>
      <c r="AP174" s="87"/>
      <c r="AQ174" s="87"/>
      <c r="AR174" s="87"/>
      <c r="AS174" s="87"/>
      <c r="AT174" s="87"/>
      <c r="AU174" s="87"/>
      <c r="AV174" s="87"/>
      <c r="AW174" s="87"/>
      <c r="AX174" s="87"/>
      <c r="AY174" s="87"/>
      <c r="AZ174" s="87"/>
      <c r="BA174" s="87"/>
      <c r="BB174" s="87"/>
      <c r="BC174" s="87"/>
      <c r="BD174" s="87"/>
      <c r="BE174" s="87"/>
      <c r="BF174" s="87"/>
      <c r="BG174" s="87"/>
      <c r="BH174" s="87"/>
      <c r="BI174" s="87"/>
      <c r="BJ174" s="87"/>
      <c r="BK174" s="87"/>
      <c r="BL174" s="87"/>
      <c r="BM174" s="87"/>
      <c r="BN174" s="87"/>
      <c r="BO174" s="87"/>
      <c r="BP174" s="87"/>
      <c r="BQ174" s="87"/>
      <c r="BR174" s="87"/>
      <c r="BS174" s="87"/>
      <c r="BT174" s="87"/>
      <c r="BU174" s="87"/>
      <c r="BV174" s="87"/>
      <c r="BW174" s="87"/>
      <c r="BX174" s="87"/>
      <c r="BY174" s="87"/>
      <c r="BZ174" s="87"/>
      <c r="CA174" s="87"/>
      <c r="CB174" s="87"/>
      <c r="CC174" s="87"/>
      <c r="CD174" s="87"/>
      <c r="CE174" s="87"/>
      <c r="CF174" s="87"/>
      <c r="CG174" s="87"/>
      <c r="CH174" s="87"/>
      <c r="CI174" s="87"/>
      <c r="CJ174" s="87"/>
      <c r="CK174" s="87"/>
      <c r="CL174" s="87"/>
      <c r="CM174" s="87"/>
      <c r="CN174" s="87"/>
      <c r="CO174" s="87"/>
      <c r="CP174" s="87"/>
      <c r="CQ174" s="87"/>
      <c r="CR174" s="87"/>
      <c r="CS174" s="87"/>
      <c r="CT174" s="87"/>
      <c r="CU174" s="87"/>
      <c r="CV174" s="87"/>
      <c r="CW174" s="87"/>
      <c r="CX174" s="87"/>
    </row>
    <row r="175" spans="16:102" x14ac:dyDescent="0.3">
      <c r="P175" s="87"/>
      <c r="Q175" s="87"/>
      <c r="R175" s="87"/>
      <c r="S175" s="87"/>
      <c r="T175" s="87"/>
      <c r="U175" s="87"/>
      <c r="V175" s="87"/>
      <c r="W175" s="87"/>
      <c r="X175" s="88"/>
      <c r="Y175" s="87"/>
      <c r="Z175" s="87"/>
      <c r="AA175" s="87"/>
      <c r="AB175" s="87"/>
      <c r="AC175" s="87"/>
      <c r="AD175" s="87"/>
      <c r="AE175" s="87"/>
      <c r="AF175" s="87"/>
      <c r="AG175" s="88"/>
      <c r="AH175" s="88"/>
      <c r="AI175" s="88"/>
      <c r="AJ175" s="88"/>
      <c r="AK175" s="87"/>
      <c r="AL175" s="87"/>
      <c r="AM175" s="87"/>
      <c r="AN175" s="87"/>
      <c r="AO175" s="87"/>
      <c r="AP175" s="87"/>
      <c r="AQ175" s="87"/>
      <c r="AR175" s="87"/>
      <c r="AS175" s="87"/>
      <c r="AT175" s="87"/>
      <c r="AU175" s="87"/>
      <c r="AV175" s="87"/>
      <c r="AW175" s="87"/>
      <c r="AX175" s="87"/>
      <c r="AY175" s="87"/>
      <c r="AZ175" s="87"/>
      <c r="BA175" s="87"/>
      <c r="BB175" s="87"/>
      <c r="BC175" s="87"/>
      <c r="BD175" s="87"/>
      <c r="BE175" s="87"/>
      <c r="BF175" s="87"/>
      <c r="BG175" s="87"/>
      <c r="BH175" s="87"/>
      <c r="BI175" s="87"/>
      <c r="BJ175" s="87"/>
      <c r="BK175" s="87"/>
      <c r="BL175" s="87"/>
      <c r="BM175" s="87"/>
      <c r="BN175" s="87"/>
      <c r="BO175" s="87"/>
      <c r="BP175" s="87"/>
      <c r="BQ175" s="87"/>
      <c r="BR175" s="87"/>
      <c r="BS175" s="87"/>
      <c r="BT175" s="87"/>
      <c r="BU175" s="87"/>
      <c r="BV175" s="87"/>
      <c r="BW175" s="87"/>
      <c r="BX175" s="87"/>
      <c r="BY175" s="87"/>
      <c r="BZ175" s="87"/>
      <c r="CA175" s="87"/>
      <c r="CB175" s="87"/>
      <c r="CC175" s="87"/>
      <c r="CD175" s="87"/>
      <c r="CE175" s="87"/>
      <c r="CF175" s="87"/>
      <c r="CG175" s="87"/>
      <c r="CH175" s="87"/>
      <c r="CI175" s="87"/>
      <c r="CJ175" s="87"/>
      <c r="CK175" s="87"/>
      <c r="CL175" s="87"/>
      <c r="CM175" s="87"/>
      <c r="CN175" s="87"/>
      <c r="CO175" s="87"/>
      <c r="CP175" s="87"/>
      <c r="CQ175" s="87"/>
      <c r="CR175" s="87"/>
      <c r="CS175" s="87"/>
      <c r="CT175" s="87"/>
      <c r="CU175" s="87"/>
      <c r="CV175" s="87"/>
      <c r="CW175" s="87"/>
      <c r="CX175" s="87"/>
    </row>
    <row r="176" spans="16:102" x14ac:dyDescent="0.3">
      <c r="P176" s="87"/>
      <c r="Q176" s="87"/>
      <c r="R176" s="87"/>
      <c r="S176" s="87"/>
      <c r="T176" s="87"/>
      <c r="U176" s="87"/>
      <c r="V176" s="87"/>
      <c r="W176" s="87"/>
      <c r="X176" s="88"/>
      <c r="Y176" s="87"/>
      <c r="Z176" s="87"/>
      <c r="AA176" s="87"/>
      <c r="AB176" s="87"/>
      <c r="AC176" s="87"/>
      <c r="AD176" s="87"/>
      <c r="AE176" s="87"/>
      <c r="AF176" s="87"/>
      <c r="AG176" s="88"/>
      <c r="AH176" s="88"/>
      <c r="AI176" s="88"/>
      <c r="AJ176" s="88"/>
      <c r="AK176" s="87"/>
      <c r="AL176" s="87"/>
      <c r="AM176" s="87"/>
      <c r="AN176" s="87"/>
      <c r="AO176" s="87"/>
      <c r="AP176" s="87"/>
      <c r="AQ176" s="87"/>
      <c r="AR176" s="87"/>
      <c r="AS176" s="87"/>
      <c r="AT176" s="87"/>
      <c r="AU176" s="87"/>
      <c r="AV176" s="87"/>
      <c r="AW176" s="87"/>
      <c r="AX176" s="87"/>
      <c r="AY176" s="87"/>
      <c r="AZ176" s="87"/>
      <c r="BA176" s="87"/>
      <c r="BB176" s="87"/>
      <c r="BC176" s="87"/>
      <c r="BD176" s="87"/>
      <c r="BE176" s="87"/>
      <c r="BF176" s="87"/>
      <c r="BG176" s="87"/>
      <c r="BH176" s="87"/>
      <c r="BI176" s="87"/>
      <c r="BJ176" s="87"/>
      <c r="BK176" s="87"/>
      <c r="BL176" s="87"/>
      <c r="BM176" s="87"/>
      <c r="BN176" s="87"/>
      <c r="BO176" s="87"/>
      <c r="BP176" s="87"/>
      <c r="BQ176" s="87"/>
      <c r="BR176" s="87"/>
      <c r="BS176" s="87"/>
      <c r="BT176" s="87"/>
      <c r="BU176" s="87"/>
      <c r="BV176" s="87"/>
      <c r="BW176" s="87"/>
      <c r="BX176" s="87"/>
      <c r="BY176" s="87"/>
      <c r="BZ176" s="87"/>
      <c r="CA176" s="87"/>
      <c r="CB176" s="87"/>
      <c r="CC176" s="87"/>
      <c r="CD176" s="87"/>
      <c r="CE176" s="87"/>
      <c r="CF176" s="87"/>
      <c r="CG176" s="87"/>
      <c r="CH176" s="87"/>
      <c r="CI176" s="87"/>
      <c r="CJ176" s="87"/>
      <c r="CK176" s="87"/>
      <c r="CL176" s="87"/>
      <c r="CM176" s="87"/>
      <c r="CN176" s="87"/>
      <c r="CO176" s="87"/>
      <c r="CP176" s="87"/>
      <c r="CQ176" s="87"/>
      <c r="CR176" s="87"/>
      <c r="CS176" s="87"/>
      <c r="CT176" s="87"/>
      <c r="CU176" s="87"/>
      <c r="CV176" s="87"/>
      <c r="CW176" s="87"/>
      <c r="CX176" s="87"/>
    </row>
    <row r="177" spans="16:102" x14ac:dyDescent="0.3">
      <c r="P177" s="87"/>
      <c r="Q177" s="87"/>
      <c r="R177" s="87"/>
      <c r="S177" s="87"/>
      <c r="T177" s="87"/>
      <c r="U177" s="87"/>
      <c r="V177" s="87"/>
      <c r="W177" s="87"/>
      <c r="X177" s="88"/>
      <c r="Y177" s="87"/>
      <c r="Z177" s="87"/>
      <c r="AA177" s="87"/>
      <c r="AB177" s="87"/>
      <c r="AC177" s="87"/>
      <c r="AD177" s="87"/>
      <c r="AE177" s="87"/>
      <c r="AF177" s="87"/>
      <c r="AG177" s="88"/>
      <c r="AH177" s="88"/>
      <c r="AI177" s="88"/>
      <c r="AJ177" s="88"/>
      <c r="AK177" s="87"/>
      <c r="AL177" s="87"/>
      <c r="AM177" s="87"/>
      <c r="AN177" s="87"/>
      <c r="AO177" s="87"/>
      <c r="AP177" s="87"/>
      <c r="AQ177" s="87"/>
      <c r="AR177" s="87"/>
      <c r="AS177" s="87"/>
      <c r="AT177" s="87"/>
      <c r="AU177" s="87"/>
      <c r="AV177" s="87"/>
      <c r="AW177" s="87"/>
      <c r="AX177" s="87"/>
      <c r="AY177" s="87"/>
      <c r="AZ177" s="87"/>
      <c r="BA177" s="87"/>
      <c r="BB177" s="87"/>
      <c r="BC177" s="87"/>
      <c r="BD177" s="87"/>
      <c r="BE177" s="87"/>
      <c r="BF177" s="87"/>
      <c r="BG177" s="87"/>
      <c r="BH177" s="87"/>
      <c r="BI177" s="87"/>
      <c r="BJ177" s="87"/>
      <c r="BK177" s="87"/>
      <c r="BL177" s="87"/>
      <c r="BM177" s="87"/>
      <c r="BN177" s="87"/>
      <c r="BO177" s="87"/>
      <c r="BP177" s="87"/>
      <c r="BQ177" s="87"/>
      <c r="BR177" s="87"/>
      <c r="BS177" s="87"/>
      <c r="BT177" s="87"/>
      <c r="BU177" s="87"/>
      <c r="BV177" s="87"/>
      <c r="BW177" s="87"/>
      <c r="BX177" s="87"/>
      <c r="BY177" s="87"/>
      <c r="BZ177" s="87"/>
      <c r="CA177" s="87"/>
      <c r="CB177" s="87"/>
      <c r="CC177" s="87"/>
      <c r="CD177" s="87"/>
      <c r="CE177" s="87"/>
      <c r="CF177" s="87"/>
      <c r="CG177" s="87"/>
      <c r="CH177" s="87"/>
      <c r="CI177" s="87"/>
      <c r="CJ177" s="87"/>
      <c r="CK177" s="87"/>
      <c r="CL177" s="87"/>
      <c r="CM177" s="87"/>
      <c r="CN177" s="87"/>
      <c r="CO177" s="87"/>
      <c r="CP177" s="87"/>
      <c r="CQ177" s="87"/>
      <c r="CR177" s="87"/>
      <c r="CS177" s="87"/>
      <c r="CT177" s="87"/>
      <c r="CU177" s="87"/>
      <c r="CV177" s="87"/>
      <c r="CW177" s="87"/>
      <c r="CX177" s="87"/>
    </row>
    <row r="178" spans="16:102" x14ac:dyDescent="0.3">
      <c r="P178" s="87"/>
      <c r="Q178" s="87"/>
      <c r="R178" s="87"/>
      <c r="S178" s="87"/>
      <c r="T178" s="87"/>
      <c r="U178" s="87"/>
      <c r="V178" s="87"/>
      <c r="W178" s="87"/>
      <c r="X178" s="88"/>
      <c r="Y178" s="87"/>
      <c r="Z178" s="87"/>
      <c r="AA178" s="87"/>
      <c r="AB178" s="87"/>
      <c r="AC178" s="87"/>
      <c r="AD178" s="87"/>
      <c r="AE178" s="87"/>
      <c r="AF178" s="87"/>
      <c r="AG178" s="88"/>
      <c r="AH178" s="88"/>
      <c r="AI178" s="88"/>
      <c r="AJ178" s="88"/>
      <c r="AK178" s="87"/>
      <c r="AL178" s="87"/>
      <c r="AM178" s="87"/>
      <c r="AN178" s="87"/>
      <c r="AO178" s="87"/>
      <c r="AP178" s="87"/>
      <c r="AQ178" s="87"/>
      <c r="AR178" s="87"/>
      <c r="AS178" s="87"/>
      <c r="AT178" s="87"/>
      <c r="AU178" s="87"/>
      <c r="AV178" s="87"/>
      <c r="AW178" s="87"/>
      <c r="AX178" s="87"/>
      <c r="AY178" s="87"/>
      <c r="AZ178" s="87"/>
      <c r="BA178" s="87"/>
      <c r="BB178" s="87"/>
      <c r="BC178" s="87"/>
      <c r="BD178" s="87"/>
      <c r="BE178" s="87"/>
      <c r="BF178" s="87"/>
      <c r="BG178" s="87"/>
      <c r="BH178" s="87"/>
      <c r="BI178" s="87"/>
      <c r="BJ178" s="87"/>
      <c r="BK178" s="87"/>
      <c r="BL178" s="87"/>
      <c r="BM178" s="87"/>
      <c r="BN178" s="87"/>
      <c r="BO178" s="87"/>
      <c r="BP178" s="87"/>
      <c r="BQ178" s="87"/>
      <c r="BR178" s="87"/>
      <c r="BS178" s="87"/>
      <c r="BT178" s="87"/>
      <c r="BU178" s="87"/>
      <c r="BV178" s="87"/>
      <c r="BW178" s="87"/>
      <c r="BX178" s="87"/>
      <c r="BY178" s="87"/>
      <c r="BZ178" s="87"/>
      <c r="CA178" s="87"/>
      <c r="CB178" s="87"/>
      <c r="CC178" s="87"/>
      <c r="CD178" s="87"/>
      <c r="CE178" s="87"/>
      <c r="CF178" s="87"/>
      <c r="CG178" s="87"/>
      <c r="CH178" s="87"/>
      <c r="CI178" s="87"/>
      <c r="CJ178" s="87"/>
      <c r="CK178" s="87"/>
      <c r="CL178" s="87"/>
      <c r="CM178" s="87"/>
      <c r="CN178" s="87"/>
      <c r="CO178" s="87"/>
      <c r="CP178" s="87"/>
      <c r="CQ178" s="87"/>
      <c r="CR178" s="87"/>
      <c r="CS178" s="87"/>
      <c r="CT178" s="87"/>
      <c r="CU178" s="87"/>
      <c r="CV178" s="87"/>
      <c r="CW178" s="87"/>
      <c r="CX178" s="87"/>
    </row>
    <row r="179" spans="16:102" x14ac:dyDescent="0.3">
      <c r="P179" s="87"/>
      <c r="Q179" s="87"/>
      <c r="R179" s="87"/>
      <c r="S179" s="87"/>
      <c r="T179" s="87"/>
      <c r="U179" s="87"/>
      <c r="V179" s="87"/>
      <c r="W179" s="87"/>
      <c r="X179" s="88"/>
      <c r="Y179" s="87"/>
      <c r="Z179" s="87"/>
      <c r="AA179" s="87"/>
      <c r="AB179" s="87"/>
      <c r="AC179" s="87"/>
      <c r="AD179" s="87"/>
      <c r="AE179" s="87"/>
      <c r="AF179" s="87"/>
      <c r="AG179" s="88"/>
      <c r="AH179" s="88"/>
      <c r="AI179" s="88"/>
      <c r="AJ179" s="88"/>
      <c r="AK179" s="87"/>
      <c r="AL179" s="87"/>
      <c r="AM179" s="87"/>
      <c r="AN179" s="87"/>
      <c r="AO179" s="87"/>
      <c r="AP179" s="87"/>
      <c r="AQ179" s="87"/>
      <c r="AR179" s="87"/>
      <c r="AS179" s="87"/>
      <c r="AT179" s="87"/>
      <c r="AU179" s="87"/>
      <c r="AV179" s="87"/>
      <c r="AW179" s="87"/>
      <c r="AX179" s="87"/>
      <c r="AY179" s="87"/>
      <c r="AZ179" s="87"/>
      <c r="BA179" s="87"/>
      <c r="BB179" s="87"/>
      <c r="BC179" s="87"/>
      <c r="BD179" s="87"/>
      <c r="BE179" s="87"/>
      <c r="BF179" s="87"/>
      <c r="BG179" s="87"/>
      <c r="BH179" s="87"/>
      <c r="BI179" s="87"/>
      <c r="BJ179" s="87"/>
      <c r="BK179" s="87"/>
      <c r="BL179" s="87"/>
      <c r="BM179" s="87"/>
      <c r="BN179" s="87"/>
      <c r="BO179" s="87"/>
      <c r="BP179" s="87"/>
      <c r="BQ179" s="87"/>
      <c r="BR179" s="87"/>
      <c r="BS179" s="87"/>
      <c r="BT179" s="87"/>
      <c r="BU179" s="87"/>
      <c r="BV179" s="87"/>
      <c r="BW179" s="87"/>
      <c r="BX179" s="87"/>
      <c r="BY179" s="87"/>
      <c r="BZ179" s="87"/>
      <c r="CA179" s="87"/>
      <c r="CB179" s="87"/>
      <c r="CC179" s="87"/>
      <c r="CD179" s="87"/>
      <c r="CE179" s="87"/>
      <c r="CF179" s="87"/>
      <c r="CG179" s="87"/>
      <c r="CH179" s="87"/>
      <c r="CI179" s="87"/>
      <c r="CJ179" s="87"/>
      <c r="CK179" s="87"/>
      <c r="CL179" s="87"/>
      <c r="CM179" s="87"/>
      <c r="CN179" s="87"/>
      <c r="CO179" s="87"/>
      <c r="CP179" s="87"/>
      <c r="CQ179" s="87"/>
      <c r="CR179" s="87"/>
      <c r="CS179" s="87"/>
      <c r="CT179" s="87"/>
      <c r="CU179" s="87"/>
      <c r="CV179" s="87"/>
      <c r="CW179" s="87"/>
      <c r="CX179" s="87"/>
    </row>
    <row r="180" spans="16:102" x14ac:dyDescent="0.3">
      <c r="P180" s="87"/>
      <c r="Q180" s="87"/>
      <c r="R180" s="87"/>
      <c r="S180" s="87"/>
      <c r="T180" s="87"/>
      <c r="U180" s="87"/>
      <c r="V180" s="87"/>
      <c r="W180" s="87"/>
      <c r="X180" s="88"/>
      <c r="Y180" s="87"/>
      <c r="Z180" s="87"/>
      <c r="AA180" s="87"/>
      <c r="AB180" s="87"/>
      <c r="AC180" s="87"/>
      <c r="AD180" s="87"/>
      <c r="AE180" s="87"/>
      <c r="AF180" s="87"/>
      <c r="AG180" s="88"/>
      <c r="AH180" s="88"/>
      <c r="AI180" s="88"/>
      <c r="AJ180" s="88"/>
      <c r="AK180" s="87"/>
      <c r="AL180" s="87"/>
      <c r="AM180" s="87"/>
      <c r="AN180" s="87"/>
      <c r="AO180" s="87"/>
      <c r="AP180" s="87"/>
      <c r="AQ180" s="87"/>
      <c r="AR180" s="87"/>
      <c r="AS180" s="87"/>
      <c r="AT180" s="87"/>
      <c r="AU180" s="87"/>
      <c r="AV180" s="87"/>
      <c r="AW180" s="87"/>
      <c r="AX180" s="87"/>
      <c r="AY180" s="87"/>
      <c r="AZ180" s="87"/>
      <c r="BA180" s="87"/>
      <c r="BB180" s="87"/>
      <c r="BC180" s="87"/>
      <c r="BD180" s="87"/>
      <c r="BE180" s="87"/>
      <c r="BF180" s="87"/>
      <c r="BG180" s="87"/>
      <c r="BH180" s="87"/>
      <c r="BI180" s="87"/>
      <c r="BJ180" s="87"/>
      <c r="BK180" s="87"/>
      <c r="BL180" s="87"/>
      <c r="BM180" s="87"/>
      <c r="BN180" s="87"/>
      <c r="BO180" s="87"/>
      <c r="BP180" s="87"/>
      <c r="BQ180" s="87"/>
      <c r="BR180" s="87"/>
      <c r="BS180" s="87"/>
      <c r="BT180" s="87"/>
      <c r="BU180" s="87"/>
      <c r="BV180" s="87"/>
      <c r="BW180" s="87"/>
      <c r="BX180" s="87"/>
      <c r="BY180" s="87"/>
      <c r="BZ180" s="87"/>
      <c r="CA180" s="87"/>
      <c r="CB180" s="87"/>
      <c r="CC180" s="87"/>
      <c r="CD180" s="87"/>
      <c r="CE180" s="87"/>
      <c r="CF180" s="87"/>
      <c r="CG180" s="87"/>
      <c r="CH180" s="87"/>
      <c r="CI180" s="87"/>
      <c r="CJ180" s="87"/>
      <c r="CK180" s="87"/>
      <c r="CL180" s="87"/>
      <c r="CM180" s="87"/>
      <c r="CN180" s="87"/>
      <c r="CO180" s="87"/>
      <c r="CP180" s="87"/>
      <c r="CQ180" s="87"/>
      <c r="CR180" s="87"/>
      <c r="CS180" s="87"/>
      <c r="CT180" s="87"/>
      <c r="CU180" s="87"/>
      <c r="CV180" s="87"/>
      <c r="CW180" s="87"/>
      <c r="CX180" s="87"/>
    </row>
    <row r="181" spans="16:102" x14ac:dyDescent="0.3">
      <c r="P181" s="87"/>
      <c r="Q181" s="87"/>
      <c r="R181" s="87"/>
      <c r="S181" s="87"/>
      <c r="T181" s="87"/>
      <c r="U181" s="87"/>
      <c r="V181" s="87"/>
      <c r="W181" s="87"/>
      <c r="X181" s="88"/>
      <c r="Y181" s="87"/>
      <c r="Z181" s="87"/>
      <c r="AA181" s="87"/>
      <c r="AB181" s="87"/>
      <c r="AC181" s="87"/>
      <c r="AD181" s="87"/>
      <c r="AE181" s="87"/>
      <c r="AF181" s="87"/>
      <c r="AG181" s="88"/>
      <c r="AH181" s="88"/>
      <c r="AI181" s="88"/>
      <c r="AJ181" s="88"/>
      <c r="AK181" s="87"/>
      <c r="AL181" s="87"/>
      <c r="AM181" s="87"/>
      <c r="AN181" s="87"/>
      <c r="AO181" s="87"/>
      <c r="AP181" s="87"/>
      <c r="AQ181" s="87"/>
      <c r="AR181" s="87"/>
      <c r="AS181" s="87"/>
      <c r="AT181" s="87"/>
      <c r="AU181" s="87"/>
      <c r="AV181" s="87"/>
      <c r="AW181" s="87"/>
      <c r="AX181" s="87"/>
      <c r="AY181" s="87"/>
      <c r="AZ181" s="87"/>
      <c r="BA181" s="87"/>
      <c r="BB181" s="87"/>
      <c r="BC181" s="87"/>
      <c r="BD181" s="87"/>
      <c r="BE181" s="87"/>
      <c r="BF181" s="87"/>
      <c r="BG181" s="87"/>
      <c r="BH181" s="87"/>
      <c r="BI181" s="87"/>
      <c r="BJ181" s="87"/>
      <c r="BK181" s="87"/>
      <c r="BL181" s="87"/>
      <c r="BM181" s="87"/>
      <c r="BN181" s="87"/>
      <c r="BO181" s="87"/>
      <c r="BP181" s="87"/>
      <c r="BQ181" s="87"/>
      <c r="BR181" s="87"/>
      <c r="BS181" s="87"/>
      <c r="BT181" s="87"/>
      <c r="BU181" s="87"/>
      <c r="BV181" s="87"/>
      <c r="BW181" s="87"/>
      <c r="BX181" s="87"/>
      <c r="BY181" s="87"/>
      <c r="BZ181" s="87"/>
      <c r="CA181" s="87"/>
      <c r="CB181" s="87"/>
      <c r="CC181" s="87"/>
      <c r="CD181" s="87"/>
      <c r="CE181" s="87"/>
      <c r="CF181" s="87"/>
      <c r="CG181" s="87"/>
      <c r="CH181" s="87"/>
      <c r="CI181" s="87"/>
      <c r="CJ181" s="87"/>
      <c r="CK181" s="87"/>
      <c r="CL181" s="87"/>
      <c r="CM181" s="87"/>
      <c r="CN181" s="87"/>
      <c r="CO181" s="87"/>
      <c r="CP181" s="87"/>
      <c r="CQ181" s="87"/>
      <c r="CR181" s="87"/>
      <c r="CS181" s="87"/>
      <c r="CT181" s="87"/>
      <c r="CU181" s="87"/>
      <c r="CV181" s="87"/>
      <c r="CW181" s="87"/>
      <c r="CX181" s="87"/>
    </row>
    <row r="182" spans="16:102" x14ac:dyDescent="0.3">
      <c r="P182" s="87"/>
      <c r="Q182" s="87"/>
      <c r="R182" s="87"/>
      <c r="S182" s="87"/>
      <c r="T182" s="87"/>
      <c r="U182" s="87"/>
      <c r="V182" s="87"/>
      <c r="W182" s="87"/>
      <c r="X182" s="88"/>
      <c r="Y182" s="87"/>
      <c r="Z182" s="87"/>
      <c r="AA182" s="87"/>
      <c r="AB182" s="87"/>
      <c r="AC182" s="87"/>
      <c r="AD182" s="87"/>
      <c r="AE182" s="87"/>
      <c r="AF182" s="87"/>
      <c r="AG182" s="88"/>
      <c r="AH182" s="88"/>
      <c r="AI182" s="88"/>
      <c r="AJ182" s="88"/>
      <c r="AK182" s="87"/>
      <c r="AL182" s="87"/>
      <c r="AM182" s="87"/>
      <c r="AN182" s="87"/>
      <c r="AO182" s="87"/>
      <c r="AP182" s="87"/>
      <c r="AQ182" s="87"/>
      <c r="AR182" s="87"/>
      <c r="AS182" s="87"/>
      <c r="AT182" s="87"/>
      <c r="AU182" s="87"/>
      <c r="AV182" s="87"/>
      <c r="AW182" s="87"/>
      <c r="AX182" s="87"/>
      <c r="AY182" s="87"/>
      <c r="AZ182" s="87"/>
      <c r="BA182" s="87"/>
      <c r="BB182" s="87"/>
      <c r="BC182" s="87"/>
      <c r="BD182" s="87"/>
      <c r="BE182" s="87"/>
      <c r="BF182" s="87"/>
      <c r="BG182" s="87"/>
      <c r="BH182" s="87"/>
      <c r="BI182" s="87"/>
      <c r="BJ182" s="87"/>
      <c r="BK182" s="87"/>
      <c r="BL182" s="87"/>
      <c r="BM182" s="87"/>
      <c r="BN182" s="87"/>
      <c r="BO182" s="87"/>
      <c r="BP182" s="87"/>
      <c r="BQ182" s="87"/>
      <c r="BR182" s="87"/>
      <c r="BS182" s="87"/>
      <c r="BT182" s="87"/>
      <c r="BU182" s="87"/>
      <c r="BV182" s="87"/>
      <c r="BW182" s="87"/>
      <c r="BX182" s="87"/>
      <c r="BY182" s="87"/>
      <c r="BZ182" s="87"/>
      <c r="CA182" s="87"/>
      <c r="CB182" s="87"/>
      <c r="CC182" s="87"/>
      <c r="CD182" s="87"/>
      <c r="CE182" s="87"/>
      <c r="CF182" s="87"/>
      <c r="CG182" s="87"/>
      <c r="CH182" s="87"/>
      <c r="CI182" s="87"/>
      <c r="CJ182" s="87"/>
      <c r="CK182" s="87"/>
      <c r="CL182" s="87"/>
      <c r="CM182" s="87"/>
      <c r="CN182" s="87"/>
      <c r="CO182" s="87"/>
      <c r="CP182" s="87"/>
      <c r="CQ182" s="87"/>
      <c r="CR182" s="87"/>
      <c r="CS182" s="87"/>
      <c r="CT182" s="87"/>
      <c r="CU182" s="87"/>
      <c r="CV182" s="87"/>
      <c r="CW182" s="87"/>
      <c r="CX182" s="87"/>
    </row>
    <row r="183" spans="16:102" x14ac:dyDescent="0.3">
      <c r="P183" s="87"/>
      <c r="Q183" s="87"/>
      <c r="R183" s="87"/>
      <c r="S183" s="87"/>
      <c r="T183" s="87"/>
      <c r="U183" s="87"/>
      <c r="V183" s="87"/>
      <c r="W183" s="87"/>
      <c r="X183" s="88"/>
      <c r="Y183" s="87"/>
      <c r="Z183" s="87"/>
      <c r="AA183" s="87"/>
      <c r="AB183" s="87"/>
      <c r="AC183" s="87"/>
      <c r="AD183" s="87"/>
      <c r="AE183" s="87"/>
      <c r="AF183" s="87"/>
      <c r="AG183" s="88"/>
      <c r="AH183" s="88"/>
      <c r="AI183" s="88"/>
      <c r="AJ183" s="88"/>
      <c r="AK183" s="87"/>
      <c r="AL183" s="87"/>
      <c r="AM183" s="87"/>
      <c r="AN183" s="87"/>
      <c r="AO183" s="87"/>
      <c r="AP183" s="87"/>
      <c r="AQ183" s="87"/>
      <c r="AR183" s="87"/>
      <c r="AS183" s="87"/>
      <c r="AT183" s="87"/>
      <c r="AU183" s="87"/>
      <c r="AV183" s="87"/>
      <c r="AW183" s="87"/>
      <c r="AX183" s="87"/>
      <c r="AY183" s="87"/>
      <c r="AZ183" s="87"/>
      <c r="BA183" s="87"/>
      <c r="BB183" s="87"/>
      <c r="BC183" s="87"/>
      <c r="BD183" s="87"/>
      <c r="BE183" s="87"/>
      <c r="BF183" s="87"/>
      <c r="BG183" s="87"/>
      <c r="BH183" s="87"/>
      <c r="BI183" s="87"/>
      <c r="BJ183" s="87"/>
      <c r="BK183" s="87"/>
      <c r="BL183" s="87"/>
      <c r="BM183" s="87"/>
      <c r="BN183" s="87"/>
      <c r="BO183" s="87"/>
      <c r="BP183" s="87"/>
      <c r="BQ183" s="87"/>
      <c r="BR183" s="87"/>
      <c r="BS183" s="87"/>
      <c r="BT183" s="87"/>
      <c r="BU183" s="87"/>
      <c r="BV183" s="87"/>
      <c r="BW183" s="87"/>
      <c r="BX183" s="87"/>
      <c r="BY183" s="87"/>
      <c r="BZ183" s="87"/>
      <c r="CA183" s="87"/>
      <c r="CB183" s="87"/>
      <c r="CC183" s="87"/>
      <c r="CD183" s="87"/>
      <c r="CE183" s="87"/>
      <c r="CF183" s="87"/>
      <c r="CG183" s="87"/>
      <c r="CH183" s="87"/>
      <c r="CI183" s="87"/>
      <c r="CJ183" s="87"/>
      <c r="CK183" s="87"/>
      <c r="CL183" s="87"/>
      <c r="CM183" s="87"/>
      <c r="CN183" s="87"/>
      <c r="CO183" s="87"/>
      <c r="CP183" s="87"/>
      <c r="CQ183" s="87"/>
      <c r="CR183" s="87"/>
      <c r="CS183" s="87"/>
      <c r="CT183" s="87"/>
      <c r="CU183" s="87"/>
      <c r="CV183" s="87"/>
      <c r="CW183" s="87"/>
      <c r="CX183" s="87"/>
    </row>
    <row r="184" spans="16:102" x14ac:dyDescent="0.3">
      <c r="P184" s="87"/>
      <c r="Q184" s="87"/>
      <c r="R184" s="87"/>
      <c r="S184" s="87"/>
      <c r="T184" s="87"/>
      <c r="U184" s="87"/>
      <c r="V184" s="87"/>
      <c r="W184" s="87"/>
      <c r="X184" s="88"/>
      <c r="Y184" s="87"/>
      <c r="Z184" s="87"/>
      <c r="AA184" s="87"/>
      <c r="AB184" s="87"/>
      <c r="AC184" s="87"/>
      <c r="AD184" s="87"/>
      <c r="AE184" s="87"/>
      <c r="AF184" s="87"/>
      <c r="AG184" s="88"/>
      <c r="AH184" s="88"/>
      <c r="AI184" s="88"/>
      <c r="AJ184" s="88"/>
      <c r="AK184" s="87"/>
      <c r="AL184" s="87"/>
      <c r="AM184" s="87"/>
      <c r="AN184" s="87"/>
      <c r="AO184" s="87"/>
      <c r="AP184" s="87"/>
      <c r="AQ184" s="87"/>
      <c r="AR184" s="87"/>
      <c r="AS184" s="87"/>
      <c r="AT184" s="87"/>
      <c r="AU184" s="87"/>
      <c r="AV184" s="87"/>
      <c r="AW184" s="87"/>
      <c r="AX184" s="87"/>
      <c r="AY184" s="87"/>
      <c r="AZ184" s="87"/>
      <c r="BA184" s="87"/>
      <c r="BB184" s="87"/>
      <c r="BC184" s="87"/>
      <c r="BD184" s="87"/>
      <c r="BE184" s="87"/>
      <c r="BF184" s="87"/>
      <c r="BG184" s="87"/>
      <c r="BH184" s="87"/>
      <c r="BI184" s="87"/>
      <c r="BJ184" s="87"/>
      <c r="BK184" s="87"/>
      <c r="BL184" s="87"/>
      <c r="BM184" s="87"/>
      <c r="BN184" s="87"/>
      <c r="BO184" s="87"/>
      <c r="BP184" s="87"/>
      <c r="BQ184" s="87"/>
      <c r="BR184" s="87"/>
      <c r="BS184" s="87"/>
      <c r="BT184" s="87"/>
      <c r="BU184" s="87"/>
      <c r="BV184" s="87"/>
      <c r="BW184" s="87"/>
      <c r="BX184" s="87"/>
      <c r="BY184" s="87"/>
      <c r="BZ184" s="87"/>
      <c r="CA184" s="87"/>
      <c r="CB184" s="87"/>
      <c r="CC184" s="87"/>
      <c r="CD184" s="87"/>
      <c r="CE184" s="87"/>
      <c r="CF184" s="87"/>
      <c r="CG184" s="87"/>
      <c r="CH184" s="87"/>
      <c r="CI184" s="87"/>
      <c r="CJ184" s="87"/>
      <c r="CK184" s="87"/>
      <c r="CL184" s="87"/>
      <c r="CM184" s="87"/>
      <c r="CN184" s="87"/>
      <c r="CO184" s="87"/>
      <c r="CP184" s="87"/>
      <c r="CQ184" s="87"/>
      <c r="CR184" s="87"/>
      <c r="CS184" s="87"/>
      <c r="CT184" s="87"/>
      <c r="CU184" s="87"/>
      <c r="CV184" s="87"/>
      <c r="CW184" s="87"/>
      <c r="CX184" s="87"/>
    </row>
    <row r="185" spans="16:102" x14ac:dyDescent="0.3">
      <c r="P185" s="87"/>
      <c r="Q185" s="87"/>
      <c r="R185" s="87"/>
      <c r="S185" s="87"/>
      <c r="T185" s="87"/>
      <c r="U185" s="87"/>
      <c r="V185" s="87"/>
      <c r="W185" s="87"/>
      <c r="X185" s="88"/>
      <c r="Y185" s="87"/>
      <c r="Z185" s="87"/>
      <c r="AA185" s="87"/>
      <c r="AB185" s="87"/>
      <c r="AC185" s="87"/>
      <c r="AD185" s="87"/>
      <c r="AE185" s="87"/>
      <c r="AF185" s="87"/>
      <c r="AG185" s="88"/>
      <c r="AH185" s="88"/>
      <c r="AI185" s="88"/>
      <c r="AJ185" s="88"/>
      <c r="AK185" s="87"/>
      <c r="AL185" s="87"/>
      <c r="AM185" s="87"/>
      <c r="AN185" s="87"/>
      <c r="AO185" s="87"/>
      <c r="AP185" s="87"/>
      <c r="AQ185" s="87"/>
      <c r="AR185" s="87"/>
      <c r="AS185" s="87"/>
      <c r="AT185" s="87"/>
      <c r="AU185" s="87"/>
      <c r="AV185" s="87"/>
      <c r="AW185" s="87"/>
      <c r="AX185" s="87"/>
      <c r="AY185" s="87"/>
      <c r="AZ185" s="87"/>
      <c r="BA185" s="87"/>
      <c r="BB185" s="87"/>
      <c r="BC185" s="87"/>
      <c r="BD185" s="87"/>
      <c r="BE185" s="87"/>
      <c r="BF185" s="87"/>
      <c r="BG185" s="87"/>
      <c r="BH185" s="87"/>
      <c r="BI185" s="87"/>
      <c r="BJ185" s="87"/>
      <c r="BK185" s="87"/>
      <c r="BL185" s="87"/>
      <c r="BM185" s="87"/>
      <c r="BN185" s="87"/>
      <c r="BO185" s="87"/>
      <c r="BP185" s="87"/>
      <c r="BQ185" s="87"/>
      <c r="BR185" s="87"/>
      <c r="BS185" s="87"/>
      <c r="BT185" s="87"/>
      <c r="BU185" s="87"/>
      <c r="BV185" s="87"/>
      <c r="BW185" s="87"/>
      <c r="BX185" s="87"/>
      <c r="BY185" s="87"/>
      <c r="BZ185" s="87"/>
      <c r="CA185" s="87"/>
      <c r="CB185" s="87"/>
      <c r="CC185" s="87"/>
      <c r="CD185" s="87"/>
      <c r="CE185" s="87"/>
      <c r="CF185" s="87"/>
      <c r="CG185" s="87"/>
      <c r="CH185" s="87"/>
      <c r="CI185" s="87"/>
      <c r="CJ185" s="87"/>
      <c r="CK185" s="87"/>
      <c r="CL185" s="87"/>
      <c r="CM185" s="87"/>
      <c r="CN185" s="87"/>
      <c r="CO185" s="87"/>
      <c r="CP185" s="87"/>
      <c r="CQ185" s="87"/>
      <c r="CR185" s="87"/>
      <c r="CS185" s="87"/>
      <c r="CT185" s="87"/>
      <c r="CU185" s="87"/>
      <c r="CV185" s="87"/>
      <c r="CW185" s="87"/>
      <c r="CX185" s="87"/>
    </row>
    <row r="186" spans="16:102" x14ac:dyDescent="0.3">
      <c r="P186" s="87"/>
      <c r="Q186" s="87"/>
      <c r="R186" s="87"/>
      <c r="S186" s="87"/>
      <c r="T186" s="87"/>
      <c r="U186" s="87"/>
      <c r="V186" s="87"/>
      <c r="W186" s="87"/>
      <c r="X186" s="88"/>
      <c r="Y186" s="87"/>
      <c r="Z186" s="87"/>
      <c r="AA186" s="87"/>
      <c r="AB186" s="87"/>
      <c r="AC186" s="87"/>
      <c r="AD186" s="87"/>
      <c r="AE186" s="87"/>
      <c r="AF186" s="87"/>
      <c r="AG186" s="88"/>
      <c r="AH186" s="88"/>
      <c r="AI186" s="88"/>
      <c r="AJ186" s="88"/>
      <c r="AK186" s="87"/>
      <c r="AL186" s="87"/>
      <c r="AM186" s="87"/>
      <c r="AN186" s="87"/>
      <c r="AO186" s="87"/>
      <c r="AP186" s="87"/>
      <c r="AQ186" s="87"/>
      <c r="AR186" s="87"/>
      <c r="AS186" s="87"/>
      <c r="AT186" s="87"/>
      <c r="AU186" s="87"/>
      <c r="AV186" s="87"/>
      <c r="AW186" s="87"/>
      <c r="AX186" s="87"/>
      <c r="AY186" s="87"/>
      <c r="AZ186" s="87"/>
      <c r="BA186" s="87"/>
      <c r="BB186" s="87"/>
      <c r="BC186" s="87"/>
      <c r="BD186" s="87"/>
      <c r="BE186" s="87"/>
      <c r="BF186" s="87"/>
      <c r="BG186" s="87"/>
      <c r="BH186" s="87"/>
      <c r="BI186" s="87"/>
      <c r="BJ186" s="87"/>
      <c r="BK186" s="87"/>
      <c r="BL186" s="87"/>
      <c r="BM186" s="87"/>
      <c r="BN186" s="87"/>
      <c r="BO186" s="87"/>
      <c r="BP186" s="87"/>
      <c r="BQ186" s="87"/>
      <c r="BR186" s="87"/>
      <c r="BS186" s="87"/>
      <c r="BT186" s="87"/>
      <c r="BU186" s="87"/>
      <c r="BV186" s="87"/>
      <c r="BW186" s="87"/>
      <c r="BX186" s="87"/>
      <c r="BY186" s="87"/>
      <c r="BZ186" s="87"/>
      <c r="CA186" s="87"/>
      <c r="CB186" s="87"/>
      <c r="CC186" s="87"/>
      <c r="CD186" s="87"/>
      <c r="CE186" s="87"/>
      <c r="CF186" s="87"/>
      <c r="CG186" s="87"/>
      <c r="CH186" s="87"/>
      <c r="CI186" s="87"/>
      <c r="CJ186" s="87"/>
      <c r="CK186" s="87"/>
      <c r="CL186" s="87"/>
      <c r="CM186" s="87"/>
      <c r="CN186" s="87"/>
      <c r="CO186" s="87"/>
      <c r="CP186" s="87"/>
      <c r="CQ186" s="87"/>
      <c r="CR186" s="87"/>
      <c r="CS186" s="87"/>
      <c r="CT186" s="87"/>
      <c r="CU186" s="87"/>
      <c r="CV186" s="87"/>
      <c r="CW186" s="87"/>
      <c r="CX186" s="87"/>
    </row>
    <row r="187" spans="16:102" x14ac:dyDescent="0.3">
      <c r="P187" s="87"/>
      <c r="Q187" s="87"/>
      <c r="R187" s="87"/>
      <c r="S187" s="87"/>
      <c r="T187" s="87"/>
      <c r="U187" s="87"/>
      <c r="V187" s="87"/>
      <c r="W187" s="87"/>
      <c r="X187" s="88"/>
      <c r="Y187" s="87"/>
      <c r="Z187" s="87"/>
      <c r="AA187" s="87"/>
      <c r="AB187" s="87"/>
      <c r="AC187" s="87"/>
      <c r="AD187" s="87"/>
      <c r="AE187" s="87"/>
      <c r="AF187" s="87"/>
      <c r="AG187" s="88"/>
      <c r="AH187" s="88"/>
      <c r="AI187" s="88"/>
      <c r="AJ187" s="88"/>
      <c r="AK187" s="87"/>
      <c r="AL187" s="87"/>
      <c r="AM187" s="87"/>
      <c r="AN187" s="87"/>
      <c r="AO187" s="87"/>
      <c r="AP187" s="87"/>
      <c r="AQ187" s="87"/>
      <c r="AR187" s="87"/>
      <c r="AS187" s="87"/>
      <c r="AT187" s="87"/>
      <c r="AU187" s="87"/>
      <c r="AV187" s="87"/>
      <c r="AW187" s="87"/>
      <c r="AX187" s="87"/>
      <c r="AY187" s="87"/>
      <c r="AZ187" s="87"/>
      <c r="BA187" s="87"/>
      <c r="BB187" s="87"/>
      <c r="BC187" s="87"/>
      <c r="BD187" s="87"/>
      <c r="BE187" s="87"/>
      <c r="BF187" s="87"/>
      <c r="BG187" s="87"/>
      <c r="BH187" s="87"/>
      <c r="BI187" s="87"/>
      <c r="BJ187" s="87"/>
      <c r="BK187" s="87"/>
      <c r="BL187" s="87"/>
      <c r="BM187" s="87"/>
      <c r="BN187" s="87"/>
      <c r="BO187" s="87"/>
      <c r="BP187" s="87"/>
      <c r="BQ187" s="87"/>
      <c r="BR187" s="87"/>
      <c r="BS187" s="87"/>
      <c r="BT187" s="87"/>
      <c r="BU187" s="87"/>
      <c r="BV187" s="87"/>
      <c r="BW187" s="87"/>
      <c r="BX187" s="87"/>
      <c r="BY187" s="87"/>
      <c r="BZ187" s="87"/>
      <c r="CA187" s="87"/>
      <c r="CB187" s="87"/>
      <c r="CC187" s="87"/>
      <c r="CD187" s="87"/>
      <c r="CE187" s="87"/>
      <c r="CF187" s="87"/>
      <c r="CG187" s="87"/>
      <c r="CH187" s="87"/>
      <c r="CI187" s="87"/>
      <c r="CJ187" s="87"/>
      <c r="CK187" s="87"/>
      <c r="CL187" s="87"/>
      <c r="CM187" s="87"/>
      <c r="CN187" s="87"/>
      <c r="CO187" s="87"/>
      <c r="CP187" s="87"/>
      <c r="CQ187" s="87"/>
      <c r="CR187" s="87"/>
      <c r="CS187" s="87"/>
      <c r="CT187" s="87"/>
      <c r="CU187" s="87"/>
      <c r="CV187" s="87"/>
      <c r="CW187" s="87"/>
      <c r="CX187" s="87"/>
    </row>
    <row r="188" spans="16:102" x14ac:dyDescent="0.3">
      <c r="P188" s="87"/>
      <c r="Q188" s="87"/>
      <c r="R188" s="87"/>
      <c r="S188" s="87"/>
      <c r="T188" s="87"/>
      <c r="U188" s="87"/>
      <c r="V188" s="87"/>
      <c r="W188" s="87"/>
      <c r="X188" s="88"/>
      <c r="Y188" s="87"/>
      <c r="Z188" s="87"/>
      <c r="AA188" s="87"/>
      <c r="AB188" s="87"/>
      <c r="AC188" s="87"/>
      <c r="AD188" s="87"/>
      <c r="AE188" s="87"/>
      <c r="AF188" s="87"/>
      <c r="AG188" s="88"/>
      <c r="AH188" s="88"/>
      <c r="AI188" s="88"/>
      <c r="AJ188" s="88"/>
      <c r="AK188" s="87"/>
      <c r="AL188" s="87"/>
      <c r="AM188" s="87"/>
      <c r="AN188" s="87"/>
      <c r="AO188" s="87"/>
      <c r="AP188" s="87"/>
      <c r="AQ188" s="87"/>
      <c r="AR188" s="87"/>
      <c r="AS188" s="87"/>
      <c r="AT188" s="87"/>
      <c r="AU188" s="87"/>
      <c r="AV188" s="87"/>
      <c r="AW188" s="87"/>
      <c r="AX188" s="87"/>
      <c r="AY188" s="87"/>
      <c r="AZ188" s="87"/>
      <c r="BA188" s="87"/>
      <c r="BB188" s="87"/>
      <c r="BC188" s="87"/>
      <c r="BD188" s="87"/>
      <c r="BE188" s="87"/>
      <c r="BF188" s="87"/>
      <c r="BG188" s="87"/>
      <c r="BH188" s="87"/>
      <c r="BI188" s="87"/>
      <c r="BJ188" s="87"/>
      <c r="BK188" s="87"/>
      <c r="BL188" s="87"/>
      <c r="BM188" s="87"/>
      <c r="BN188" s="87"/>
      <c r="BO188" s="87"/>
      <c r="BP188" s="87"/>
      <c r="BQ188" s="87"/>
      <c r="BR188" s="87"/>
      <c r="BS188" s="87"/>
      <c r="BT188" s="87"/>
      <c r="BU188" s="87"/>
      <c r="BV188" s="87"/>
      <c r="BW188" s="87"/>
      <c r="BX188" s="87"/>
      <c r="BY188" s="87"/>
      <c r="BZ188" s="87"/>
      <c r="CA188" s="87"/>
      <c r="CB188" s="87"/>
      <c r="CC188" s="87"/>
      <c r="CD188" s="87"/>
      <c r="CE188" s="87"/>
      <c r="CF188" s="87"/>
      <c r="CG188" s="87"/>
      <c r="CH188" s="87"/>
      <c r="CI188" s="87"/>
      <c r="CJ188" s="87"/>
      <c r="CK188" s="87"/>
      <c r="CL188" s="87"/>
      <c r="CM188" s="87"/>
      <c r="CN188" s="87"/>
      <c r="CO188" s="87"/>
      <c r="CP188" s="87"/>
      <c r="CQ188" s="87"/>
      <c r="CR188" s="87"/>
      <c r="CS188" s="87"/>
      <c r="CT188" s="87"/>
      <c r="CU188" s="87"/>
      <c r="CV188" s="87"/>
      <c r="CW188" s="87"/>
      <c r="CX188" s="87"/>
    </row>
    <row r="189" spans="16:102" x14ac:dyDescent="0.3">
      <c r="P189" s="87"/>
      <c r="Q189" s="87"/>
      <c r="R189" s="87"/>
      <c r="S189" s="87"/>
      <c r="T189" s="87"/>
      <c r="U189" s="87"/>
      <c r="V189" s="87"/>
      <c r="W189" s="87"/>
      <c r="X189" s="88"/>
      <c r="Y189" s="87"/>
      <c r="Z189" s="87"/>
      <c r="AA189" s="87"/>
      <c r="AB189" s="87"/>
      <c r="AC189" s="87"/>
      <c r="AD189" s="87"/>
      <c r="AE189" s="87"/>
      <c r="AF189" s="87"/>
      <c r="AG189" s="88"/>
      <c r="AH189" s="88"/>
      <c r="AI189" s="88"/>
      <c r="AJ189" s="88"/>
      <c r="AK189" s="87"/>
      <c r="AL189" s="87"/>
      <c r="AM189" s="87"/>
      <c r="AN189" s="87"/>
      <c r="AO189" s="87"/>
      <c r="AP189" s="87"/>
      <c r="AQ189" s="87"/>
      <c r="AR189" s="87"/>
      <c r="AS189" s="87"/>
      <c r="AT189" s="87"/>
      <c r="AU189" s="87"/>
      <c r="AV189" s="87"/>
      <c r="AW189" s="87"/>
      <c r="AX189" s="87"/>
      <c r="AY189" s="87"/>
      <c r="AZ189" s="87"/>
      <c r="BA189" s="87"/>
      <c r="BB189" s="87"/>
      <c r="BC189" s="87"/>
      <c r="BD189" s="87"/>
      <c r="BE189" s="87"/>
      <c r="BF189" s="87"/>
      <c r="BG189" s="87"/>
      <c r="BH189" s="87"/>
      <c r="BI189" s="87"/>
      <c r="BJ189" s="87"/>
      <c r="BK189" s="87"/>
      <c r="BL189" s="87"/>
      <c r="BM189" s="87"/>
      <c r="BN189" s="87"/>
      <c r="BO189" s="87"/>
      <c r="BP189" s="87"/>
      <c r="BQ189" s="87"/>
      <c r="BR189" s="87"/>
      <c r="BS189" s="87"/>
      <c r="BT189" s="87"/>
      <c r="BU189" s="87"/>
      <c r="BV189" s="87"/>
      <c r="BW189" s="87"/>
      <c r="BX189" s="87"/>
      <c r="BY189" s="87"/>
      <c r="BZ189" s="87"/>
      <c r="CA189" s="87"/>
      <c r="CB189" s="87"/>
      <c r="CC189" s="87"/>
      <c r="CD189" s="87"/>
      <c r="CE189" s="87"/>
      <c r="CF189" s="87"/>
      <c r="CG189" s="87"/>
      <c r="CH189" s="87"/>
      <c r="CI189" s="87"/>
      <c r="CJ189" s="87"/>
      <c r="CK189" s="87"/>
      <c r="CL189" s="87"/>
      <c r="CM189" s="87"/>
      <c r="CN189" s="87"/>
      <c r="CO189" s="87"/>
      <c r="CP189" s="87"/>
      <c r="CQ189" s="87"/>
      <c r="CR189" s="87"/>
      <c r="CS189" s="87"/>
      <c r="CT189" s="87"/>
      <c r="CU189" s="87"/>
      <c r="CV189" s="87"/>
      <c r="CW189" s="87"/>
      <c r="CX189" s="87"/>
    </row>
    <row r="190" spans="16:102" x14ac:dyDescent="0.3">
      <c r="P190" s="87"/>
      <c r="Q190" s="87"/>
      <c r="R190" s="87"/>
      <c r="S190" s="87"/>
      <c r="T190" s="87"/>
      <c r="U190" s="87"/>
      <c r="V190" s="87"/>
      <c r="W190" s="87"/>
      <c r="X190" s="88"/>
      <c r="Y190" s="87"/>
      <c r="Z190" s="87"/>
      <c r="AA190" s="87"/>
      <c r="AB190" s="87"/>
      <c r="AC190" s="87"/>
      <c r="AD190" s="87"/>
      <c r="AE190" s="87"/>
      <c r="AF190" s="87"/>
      <c r="AG190" s="88"/>
      <c r="AH190" s="88"/>
      <c r="AI190" s="88"/>
      <c r="AJ190" s="88"/>
      <c r="AK190" s="87"/>
      <c r="AL190" s="87"/>
      <c r="AM190" s="87"/>
      <c r="AN190" s="87"/>
      <c r="AO190" s="87"/>
      <c r="AP190" s="87"/>
      <c r="AQ190" s="87"/>
      <c r="AR190" s="87"/>
      <c r="AS190" s="87"/>
      <c r="AT190" s="87"/>
      <c r="AU190" s="87"/>
      <c r="AV190" s="87"/>
      <c r="AW190" s="87"/>
      <c r="AX190" s="87"/>
      <c r="AY190" s="87"/>
      <c r="AZ190" s="87"/>
      <c r="BA190" s="87"/>
      <c r="BB190" s="87"/>
      <c r="BC190" s="87"/>
      <c r="BD190" s="87"/>
      <c r="BE190" s="87"/>
      <c r="BF190" s="87"/>
      <c r="BG190" s="87"/>
      <c r="BH190" s="87"/>
      <c r="BI190" s="87"/>
      <c r="BJ190" s="87"/>
      <c r="BK190" s="87"/>
      <c r="BL190" s="87"/>
      <c r="BM190" s="87"/>
      <c r="BN190" s="87"/>
      <c r="BO190" s="87"/>
      <c r="BP190" s="87"/>
      <c r="BQ190" s="87"/>
      <c r="BR190" s="87"/>
      <c r="BS190" s="87"/>
      <c r="BT190" s="87"/>
      <c r="BU190" s="87"/>
      <c r="BV190" s="87"/>
      <c r="BW190" s="87"/>
      <c r="BX190" s="87"/>
      <c r="BY190" s="87"/>
      <c r="BZ190" s="87"/>
      <c r="CA190" s="87"/>
      <c r="CB190" s="87"/>
      <c r="CC190" s="87"/>
      <c r="CD190" s="87"/>
      <c r="CE190" s="87"/>
      <c r="CF190" s="87"/>
      <c r="CG190" s="87"/>
      <c r="CH190" s="87"/>
      <c r="CI190" s="87"/>
      <c r="CJ190" s="87"/>
      <c r="CK190" s="87"/>
      <c r="CL190" s="87"/>
      <c r="CM190" s="87"/>
      <c r="CN190" s="87"/>
      <c r="CO190" s="87"/>
      <c r="CP190" s="87"/>
      <c r="CQ190" s="87"/>
      <c r="CR190" s="87"/>
      <c r="CS190" s="87"/>
      <c r="CT190" s="87"/>
      <c r="CU190" s="87"/>
      <c r="CV190" s="87"/>
      <c r="CW190" s="87"/>
      <c r="CX190" s="87"/>
    </row>
    <row r="191" spans="16:102" x14ac:dyDescent="0.3">
      <c r="P191" s="87"/>
      <c r="Q191" s="87"/>
      <c r="R191" s="87"/>
      <c r="S191" s="87"/>
      <c r="T191" s="87"/>
      <c r="U191" s="87"/>
      <c r="V191" s="87"/>
      <c r="W191" s="87"/>
      <c r="X191" s="88"/>
      <c r="Y191" s="87"/>
      <c r="Z191" s="87"/>
      <c r="AA191" s="87"/>
      <c r="AB191" s="87"/>
      <c r="AC191" s="87"/>
      <c r="AD191" s="87"/>
      <c r="AE191" s="87"/>
      <c r="AF191" s="87"/>
      <c r="AG191" s="88"/>
      <c r="AH191" s="88"/>
      <c r="AI191" s="88"/>
      <c r="AJ191" s="88"/>
      <c r="AK191" s="87"/>
      <c r="AL191" s="87"/>
      <c r="AM191" s="87"/>
      <c r="AN191" s="87"/>
      <c r="AO191" s="87"/>
      <c r="AP191" s="87"/>
      <c r="AQ191" s="87"/>
      <c r="AR191" s="87"/>
      <c r="AS191" s="87"/>
      <c r="AT191" s="87"/>
      <c r="AU191" s="87"/>
      <c r="AV191" s="87"/>
      <c r="AW191" s="87"/>
      <c r="AX191" s="87"/>
      <c r="AY191" s="87"/>
      <c r="AZ191" s="87"/>
      <c r="BA191" s="87"/>
      <c r="BB191" s="87"/>
      <c r="BC191" s="87"/>
      <c r="BD191" s="87"/>
      <c r="BE191" s="87"/>
      <c r="BF191" s="87"/>
      <c r="BG191" s="87"/>
      <c r="BH191" s="87"/>
      <c r="BI191" s="87"/>
      <c r="BJ191" s="87"/>
      <c r="BK191" s="87"/>
      <c r="BL191" s="87"/>
      <c r="BM191" s="87"/>
      <c r="BN191" s="87"/>
      <c r="BO191" s="87"/>
      <c r="BP191" s="87"/>
      <c r="BQ191" s="87"/>
      <c r="BR191" s="87"/>
      <c r="BS191" s="87"/>
      <c r="BT191" s="87"/>
      <c r="BU191" s="87"/>
      <c r="BV191" s="87"/>
      <c r="BW191" s="87"/>
      <c r="BX191" s="87"/>
      <c r="BY191" s="87"/>
      <c r="BZ191" s="87"/>
      <c r="CA191" s="87"/>
      <c r="CB191" s="87"/>
      <c r="CC191" s="87"/>
      <c r="CD191" s="87"/>
      <c r="CE191" s="87"/>
      <c r="CF191" s="87"/>
      <c r="CG191" s="87"/>
      <c r="CH191" s="87"/>
      <c r="CI191" s="87"/>
      <c r="CJ191" s="87"/>
      <c r="CK191" s="87"/>
      <c r="CL191" s="87"/>
      <c r="CM191" s="87"/>
      <c r="CN191" s="87"/>
      <c r="CO191" s="87"/>
      <c r="CP191" s="87"/>
      <c r="CQ191" s="87"/>
      <c r="CR191" s="87"/>
      <c r="CS191" s="87"/>
      <c r="CT191" s="87"/>
      <c r="CU191" s="87"/>
      <c r="CV191" s="87"/>
      <c r="CW191" s="87"/>
      <c r="CX191" s="87"/>
    </row>
    <row r="192" spans="16:102" x14ac:dyDescent="0.3">
      <c r="P192" s="87"/>
      <c r="Q192" s="87"/>
      <c r="R192" s="87"/>
      <c r="S192" s="87"/>
      <c r="T192" s="87"/>
      <c r="U192" s="87"/>
      <c r="V192" s="87"/>
      <c r="W192" s="87"/>
      <c r="X192" s="88"/>
      <c r="Y192" s="87"/>
      <c r="Z192" s="87"/>
      <c r="AA192" s="87"/>
      <c r="AB192" s="87"/>
      <c r="AC192" s="87"/>
      <c r="AD192" s="87"/>
      <c r="AE192" s="87"/>
      <c r="AF192" s="87"/>
      <c r="AG192" s="88"/>
      <c r="AH192" s="88"/>
      <c r="AI192" s="88"/>
      <c r="AJ192" s="88"/>
      <c r="AK192" s="87"/>
      <c r="AL192" s="87"/>
      <c r="AM192" s="87"/>
      <c r="AN192" s="87"/>
      <c r="AO192" s="87"/>
      <c r="AP192" s="87"/>
      <c r="AQ192" s="87"/>
      <c r="AR192" s="87"/>
      <c r="AS192" s="87"/>
      <c r="AT192" s="87"/>
      <c r="AU192" s="87"/>
      <c r="AV192" s="87"/>
      <c r="AW192" s="87"/>
      <c r="AX192" s="87"/>
      <c r="AY192" s="87"/>
      <c r="AZ192" s="87"/>
      <c r="BA192" s="87"/>
      <c r="BB192" s="87"/>
      <c r="BC192" s="87"/>
      <c r="BD192" s="87"/>
      <c r="BE192" s="87"/>
      <c r="BF192" s="87"/>
      <c r="BG192" s="87"/>
      <c r="BH192" s="87"/>
      <c r="BI192" s="87"/>
      <c r="BJ192" s="87"/>
      <c r="BK192" s="87"/>
      <c r="BL192" s="87"/>
      <c r="BM192" s="87"/>
      <c r="BN192" s="87"/>
      <c r="BO192" s="87"/>
      <c r="BP192" s="87"/>
      <c r="BQ192" s="87"/>
      <c r="BR192" s="87"/>
      <c r="BS192" s="87"/>
      <c r="BT192" s="87"/>
      <c r="BU192" s="87"/>
      <c r="BV192" s="87"/>
      <c r="BW192" s="87"/>
      <c r="BX192" s="87"/>
      <c r="BY192" s="87"/>
      <c r="BZ192" s="87"/>
      <c r="CA192" s="87"/>
      <c r="CB192" s="87"/>
      <c r="CC192" s="87"/>
      <c r="CD192" s="87"/>
      <c r="CE192" s="87"/>
      <c r="CF192" s="87"/>
      <c r="CG192" s="87"/>
      <c r="CH192" s="87"/>
      <c r="CI192" s="87"/>
      <c r="CJ192" s="87"/>
      <c r="CK192" s="87"/>
      <c r="CL192" s="87"/>
      <c r="CM192" s="87"/>
      <c r="CN192" s="87"/>
      <c r="CO192" s="87"/>
      <c r="CP192" s="87"/>
      <c r="CQ192" s="87"/>
      <c r="CR192" s="87"/>
      <c r="CS192" s="87"/>
      <c r="CT192" s="87"/>
      <c r="CU192" s="87"/>
      <c r="CV192" s="87"/>
      <c r="CW192" s="87"/>
      <c r="CX192" s="87"/>
    </row>
    <row r="193" spans="16:102" x14ac:dyDescent="0.3">
      <c r="P193" s="87"/>
      <c r="Q193" s="87"/>
      <c r="R193" s="87"/>
      <c r="S193" s="87"/>
      <c r="T193" s="87"/>
      <c r="U193" s="87"/>
      <c r="V193" s="87"/>
      <c r="W193" s="87"/>
      <c r="X193" s="88"/>
      <c r="Y193" s="87"/>
      <c r="Z193" s="87"/>
      <c r="AA193" s="87"/>
      <c r="AB193" s="87"/>
      <c r="AC193" s="87"/>
      <c r="AD193" s="87"/>
      <c r="AE193" s="87"/>
      <c r="AF193" s="87"/>
      <c r="AG193" s="88"/>
      <c r="AH193" s="88"/>
      <c r="AI193" s="88"/>
      <c r="AJ193" s="88"/>
      <c r="AK193" s="87"/>
      <c r="AL193" s="87"/>
      <c r="AM193" s="87"/>
      <c r="AN193" s="87"/>
      <c r="AO193" s="87"/>
      <c r="AP193" s="87"/>
      <c r="AQ193" s="87"/>
      <c r="AR193" s="87"/>
      <c r="AS193" s="87"/>
      <c r="AT193" s="87"/>
      <c r="AU193" s="87"/>
      <c r="AV193" s="87"/>
      <c r="AW193" s="87"/>
      <c r="AX193" s="87"/>
      <c r="AY193" s="87"/>
      <c r="AZ193" s="87"/>
      <c r="BA193" s="87"/>
      <c r="BB193" s="87"/>
      <c r="BC193" s="87"/>
      <c r="BD193" s="87"/>
      <c r="BE193" s="87"/>
      <c r="BF193" s="87"/>
      <c r="BG193" s="87"/>
      <c r="BH193" s="87"/>
      <c r="BI193" s="87"/>
      <c r="BJ193" s="87"/>
      <c r="BK193" s="87"/>
      <c r="BL193" s="87"/>
      <c r="BM193" s="87"/>
      <c r="BN193" s="87"/>
      <c r="BO193" s="87"/>
      <c r="BP193" s="87"/>
      <c r="BQ193" s="87"/>
      <c r="BR193" s="87"/>
      <c r="BS193" s="87"/>
      <c r="BT193" s="87"/>
      <c r="BU193" s="87"/>
      <c r="BV193" s="87"/>
      <c r="BW193" s="87"/>
      <c r="BX193" s="87"/>
      <c r="BY193" s="87"/>
      <c r="BZ193" s="87"/>
      <c r="CA193" s="87"/>
      <c r="CB193" s="87"/>
      <c r="CC193" s="87"/>
      <c r="CD193" s="87"/>
      <c r="CE193" s="87"/>
      <c r="CF193" s="87"/>
      <c r="CG193" s="87"/>
      <c r="CH193" s="87"/>
      <c r="CI193" s="87"/>
      <c r="CJ193" s="87"/>
      <c r="CK193" s="87"/>
      <c r="CL193" s="87"/>
      <c r="CM193" s="87"/>
      <c r="CN193" s="87"/>
      <c r="CO193" s="87"/>
      <c r="CP193" s="87"/>
      <c r="CQ193" s="87"/>
      <c r="CR193" s="87"/>
      <c r="CS193" s="87"/>
      <c r="CT193" s="87"/>
      <c r="CU193" s="87"/>
      <c r="CV193" s="87"/>
      <c r="CW193" s="87"/>
      <c r="CX193" s="87"/>
    </row>
    <row r="194" spans="16:102" x14ac:dyDescent="0.3">
      <c r="P194" s="87"/>
      <c r="Q194" s="87"/>
      <c r="R194" s="87"/>
      <c r="S194" s="87"/>
      <c r="T194" s="87"/>
      <c r="U194" s="87"/>
      <c r="V194" s="87"/>
      <c r="W194" s="87"/>
      <c r="X194" s="88"/>
      <c r="Y194" s="87"/>
      <c r="Z194" s="87"/>
      <c r="AA194" s="87"/>
      <c r="AB194" s="87"/>
      <c r="AC194" s="87"/>
      <c r="AD194" s="87"/>
      <c r="AE194" s="87"/>
      <c r="AF194" s="87"/>
      <c r="AG194" s="88"/>
      <c r="AH194" s="88"/>
      <c r="AI194" s="88"/>
      <c r="AJ194" s="88"/>
      <c r="AK194" s="87"/>
      <c r="AL194" s="87"/>
      <c r="AM194" s="87"/>
      <c r="AN194" s="87"/>
      <c r="AO194" s="87"/>
      <c r="AP194" s="87"/>
      <c r="AQ194" s="87"/>
      <c r="AR194" s="87"/>
      <c r="AS194" s="87"/>
      <c r="AT194" s="87"/>
      <c r="AU194" s="87"/>
      <c r="AV194" s="87"/>
      <c r="AW194" s="87"/>
      <c r="AX194" s="87"/>
      <c r="AY194" s="87"/>
      <c r="AZ194" s="87"/>
      <c r="BA194" s="87"/>
      <c r="BB194" s="87"/>
      <c r="BC194" s="87"/>
      <c r="BD194" s="87"/>
      <c r="BE194" s="87"/>
      <c r="BF194" s="87"/>
      <c r="BG194" s="87"/>
      <c r="BH194" s="87"/>
      <c r="BI194" s="87"/>
      <c r="BJ194" s="87"/>
      <c r="BK194" s="87"/>
      <c r="BL194" s="87"/>
      <c r="BM194" s="87"/>
      <c r="BN194" s="87"/>
      <c r="BO194" s="87"/>
      <c r="BP194" s="87"/>
      <c r="BQ194" s="87"/>
      <c r="BR194" s="87"/>
      <c r="BS194" s="87"/>
      <c r="BT194" s="87"/>
      <c r="BU194" s="87"/>
      <c r="BV194" s="87"/>
      <c r="BW194" s="87"/>
      <c r="BX194" s="87"/>
      <c r="BY194" s="87"/>
      <c r="BZ194" s="87"/>
      <c r="CA194" s="87"/>
      <c r="CB194" s="87"/>
      <c r="CC194" s="87"/>
      <c r="CD194" s="87"/>
      <c r="CE194" s="87"/>
      <c r="CF194" s="87"/>
      <c r="CG194" s="87"/>
      <c r="CH194" s="87"/>
      <c r="CI194" s="87"/>
      <c r="CJ194" s="87"/>
      <c r="CK194" s="87"/>
      <c r="CL194" s="87"/>
      <c r="CM194" s="87"/>
      <c r="CN194" s="87"/>
      <c r="CO194" s="87"/>
      <c r="CP194" s="87"/>
      <c r="CQ194" s="87"/>
      <c r="CR194" s="87"/>
      <c r="CS194" s="87"/>
      <c r="CT194" s="87"/>
      <c r="CU194" s="87"/>
      <c r="CV194" s="87"/>
      <c r="CW194" s="87"/>
      <c r="CX194" s="87"/>
    </row>
    <row r="195" spans="16:102" x14ac:dyDescent="0.3">
      <c r="P195" s="87"/>
      <c r="Q195" s="87"/>
      <c r="R195" s="87"/>
      <c r="S195" s="87"/>
      <c r="T195" s="87"/>
      <c r="U195" s="87"/>
      <c r="V195" s="87"/>
      <c r="W195" s="87"/>
      <c r="X195" s="88"/>
      <c r="Y195" s="87"/>
      <c r="Z195" s="87"/>
      <c r="AA195" s="87"/>
      <c r="AB195" s="87"/>
      <c r="AC195" s="87"/>
      <c r="AD195" s="87"/>
      <c r="AE195" s="87"/>
      <c r="AF195" s="87"/>
      <c r="AG195" s="88"/>
      <c r="AH195" s="88"/>
      <c r="AI195" s="88"/>
      <c r="AJ195" s="88"/>
      <c r="AK195" s="87"/>
      <c r="AL195" s="87"/>
      <c r="AM195" s="87"/>
      <c r="AN195" s="87"/>
      <c r="AO195" s="87"/>
      <c r="AP195" s="87"/>
      <c r="AQ195" s="87"/>
      <c r="AR195" s="87"/>
      <c r="AS195" s="87"/>
      <c r="AT195" s="87"/>
      <c r="AU195" s="87"/>
      <c r="AV195" s="87"/>
      <c r="AW195" s="87"/>
      <c r="AX195" s="87"/>
      <c r="AY195" s="87"/>
      <c r="AZ195" s="87"/>
      <c r="BA195" s="87"/>
      <c r="BB195" s="87"/>
      <c r="BC195" s="87"/>
      <c r="BD195" s="87"/>
      <c r="BE195" s="87"/>
      <c r="BF195" s="87"/>
      <c r="BG195" s="87"/>
      <c r="BH195" s="87"/>
      <c r="BI195" s="87"/>
      <c r="BJ195" s="87"/>
      <c r="BK195" s="87"/>
      <c r="BL195" s="87"/>
      <c r="BM195" s="87"/>
      <c r="BN195" s="87"/>
      <c r="BO195" s="87"/>
      <c r="BP195" s="87"/>
      <c r="BQ195" s="87"/>
      <c r="BR195" s="87"/>
      <c r="BS195" s="87"/>
      <c r="BT195" s="87"/>
      <c r="BU195" s="87"/>
      <c r="BV195" s="87"/>
      <c r="BW195" s="87"/>
      <c r="BX195" s="87"/>
      <c r="BY195" s="87"/>
      <c r="BZ195" s="87"/>
      <c r="CA195" s="87"/>
      <c r="CB195" s="87"/>
      <c r="CC195" s="87"/>
      <c r="CD195" s="87"/>
      <c r="CE195" s="87"/>
      <c r="CF195" s="87"/>
      <c r="CG195" s="87"/>
      <c r="CH195" s="87"/>
      <c r="CI195" s="87"/>
      <c r="CJ195" s="87"/>
      <c r="CK195" s="87"/>
      <c r="CL195" s="87"/>
      <c r="CM195" s="87"/>
      <c r="CN195" s="87"/>
      <c r="CO195" s="87"/>
      <c r="CP195" s="87"/>
      <c r="CQ195" s="87"/>
      <c r="CR195" s="87"/>
      <c r="CS195" s="87"/>
      <c r="CT195" s="87"/>
      <c r="CU195" s="87"/>
      <c r="CV195" s="87"/>
      <c r="CW195" s="87"/>
      <c r="CX195" s="87"/>
    </row>
    <row r="196" spans="16:102" x14ac:dyDescent="0.3">
      <c r="P196" s="87"/>
      <c r="Q196" s="87"/>
      <c r="R196" s="87"/>
      <c r="S196" s="87"/>
      <c r="T196" s="87"/>
      <c r="U196" s="87"/>
      <c r="V196" s="87"/>
      <c r="W196" s="87"/>
      <c r="X196" s="88"/>
      <c r="Y196" s="87"/>
      <c r="Z196" s="87"/>
      <c r="AA196" s="87"/>
      <c r="AB196" s="87"/>
      <c r="AC196" s="87"/>
      <c r="AD196" s="87"/>
      <c r="AE196" s="87"/>
      <c r="AF196" s="87"/>
      <c r="AG196" s="88"/>
      <c r="AH196" s="88"/>
      <c r="AI196" s="88"/>
      <c r="AJ196" s="88"/>
      <c r="AK196" s="87"/>
      <c r="AL196" s="87"/>
      <c r="AM196" s="87"/>
      <c r="AN196" s="87"/>
      <c r="AO196" s="87"/>
      <c r="AP196" s="87"/>
      <c r="AQ196" s="87"/>
      <c r="AR196" s="87"/>
      <c r="AS196" s="87"/>
      <c r="AT196" s="87"/>
      <c r="AU196" s="87"/>
      <c r="AV196" s="87"/>
      <c r="AW196" s="87"/>
      <c r="AX196" s="87"/>
      <c r="AY196" s="87"/>
      <c r="AZ196" s="87"/>
      <c r="BA196" s="87"/>
      <c r="BB196" s="87"/>
      <c r="BC196" s="87"/>
      <c r="BD196" s="87"/>
      <c r="BE196" s="87"/>
      <c r="BF196" s="87"/>
      <c r="BG196" s="87"/>
      <c r="BH196" s="87"/>
      <c r="BI196" s="87"/>
      <c r="BJ196" s="87"/>
      <c r="BK196" s="87"/>
      <c r="BL196" s="87"/>
      <c r="BM196" s="87"/>
      <c r="BN196" s="87"/>
      <c r="BO196" s="87"/>
      <c r="BP196" s="87"/>
      <c r="BQ196" s="87"/>
      <c r="BR196" s="87"/>
      <c r="BS196" s="87"/>
      <c r="BT196" s="87"/>
      <c r="BU196" s="87"/>
      <c r="BV196" s="87"/>
      <c r="BW196" s="87"/>
      <c r="BX196" s="87"/>
      <c r="BY196" s="87"/>
      <c r="BZ196" s="87"/>
      <c r="CA196" s="87"/>
      <c r="CB196" s="87"/>
      <c r="CC196" s="87"/>
      <c r="CD196" s="87"/>
      <c r="CE196" s="87"/>
      <c r="CF196" s="87"/>
      <c r="CG196" s="87"/>
      <c r="CH196" s="87"/>
      <c r="CI196" s="87"/>
      <c r="CJ196" s="87"/>
      <c r="CK196" s="87"/>
      <c r="CL196" s="87"/>
      <c r="CM196" s="87"/>
      <c r="CN196" s="87"/>
      <c r="CO196" s="87"/>
      <c r="CP196" s="87"/>
      <c r="CQ196" s="87"/>
      <c r="CR196" s="87"/>
      <c r="CS196" s="87"/>
      <c r="CT196" s="87"/>
      <c r="CU196" s="87"/>
      <c r="CV196" s="87"/>
      <c r="CW196" s="87"/>
      <c r="CX196" s="87"/>
    </row>
    <row r="197" spans="16:102" x14ac:dyDescent="0.3">
      <c r="P197" s="87"/>
      <c r="Q197" s="87"/>
      <c r="R197" s="87"/>
      <c r="S197" s="87"/>
      <c r="T197" s="87"/>
      <c r="U197" s="87"/>
      <c r="V197" s="87"/>
      <c r="W197" s="87"/>
      <c r="X197" s="88"/>
      <c r="Y197" s="87"/>
      <c r="Z197" s="87"/>
      <c r="AA197" s="87"/>
      <c r="AB197" s="87"/>
      <c r="AC197" s="87"/>
      <c r="AD197" s="87"/>
      <c r="AE197" s="87"/>
      <c r="AF197" s="87"/>
      <c r="AG197" s="88"/>
      <c r="AH197" s="88"/>
      <c r="AI197" s="88"/>
      <c r="AJ197" s="88"/>
      <c r="AK197" s="87"/>
      <c r="AL197" s="87"/>
      <c r="AM197" s="87"/>
      <c r="AN197" s="87"/>
      <c r="AO197" s="87"/>
      <c r="AP197" s="87"/>
      <c r="AQ197" s="87"/>
      <c r="AR197" s="87"/>
      <c r="AS197" s="87"/>
      <c r="AT197" s="87"/>
      <c r="AU197" s="87"/>
      <c r="AV197" s="87"/>
      <c r="AW197" s="87"/>
      <c r="AX197" s="87"/>
      <c r="AY197" s="87"/>
      <c r="AZ197" s="87"/>
      <c r="BA197" s="87"/>
      <c r="BB197" s="87"/>
      <c r="BC197" s="87"/>
      <c r="BD197" s="87"/>
      <c r="BE197" s="87"/>
      <c r="BF197" s="87"/>
      <c r="BG197" s="87"/>
      <c r="BH197" s="87"/>
      <c r="BI197" s="87"/>
      <c r="BJ197" s="87"/>
      <c r="BK197" s="87"/>
      <c r="BL197" s="87"/>
      <c r="BM197" s="87"/>
      <c r="BN197" s="87"/>
      <c r="BO197" s="87"/>
      <c r="BP197" s="87"/>
      <c r="BQ197" s="87"/>
      <c r="BR197" s="87"/>
      <c r="BS197" s="87"/>
      <c r="BT197" s="87"/>
      <c r="BU197" s="87"/>
      <c r="BV197" s="87"/>
      <c r="BW197" s="87"/>
      <c r="BX197" s="87"/>
      <c r="BY197" s="87"/>
      <c r="BZ197" s="87"/>
      <c r="CA197" s="87"/>
      <c r="CB197" s="87"/>
      <c r="CC197" s="87"/>
      <c r="CD197" s="87"/>
      <c r="CE197" s="87"/>
      <c r="CF197" s="87"/>
      <c r="CG197" s="87"/>
      <c r="CH197" s="87"/>
      <c r="CI197" s="87"/>
      <c r="CJ197" s="87"/>
      <c r="CK197" s="87"/>
      <c r="CL197" s="87"/>
      <c r="CM197" s="87"/>
      <c r="CN197" s="87"/>
      <c r="CO197" s="87"/>
      <c r="CP197" s="87"/>
      <c r="CQ197" s="87"/>
      <c r="CR197" s="87"/>
      <c r="CS197" s="87"/>
      <c r="CT197" s="87"/>
      <c r="CU197" s="87"/>
      <c r="CV197" s="87"/>
      <c r="CW197" s="87"/>
      <c r="CX197" s="87"/>
    </row>
    <row r="198" spans="16:102" x14ac:dyDescent="0.3">
      <c r="P198" s="87"/>
      <c r="Q198" s="87"/>
      <c r="R198" s="87"/>
      <c r="S198" s="87"/>
      <c r="T198" s="87"/>
      <c r="U198" s="87"/>
      <c r="V198" s="87"/>
      <c r="W198" s="87"/>
      <c r="X198" s="88"/>
      <c r="Y198" s="87"/>
      <c r="Z198" s="87"/>
      <c r="AA198" s="87"/>
      <c r="AB198" s="87"/>
      <c r="AC198" s="87"/>
      <c r="AD198" s="87"/>
      <c r="AE198" s="87"/>
      <c r="AF198" s="87"/>
      <c r="AG198" s="88"/>
      <c r="AH198" s="88"/>
      <c r="AI198" s="88"/>
      <c r="AJ198" s="88"/>
      <c r="AK198" s="87"/>
      <c r="AL198" s="87"/>
      <c r="AM198" s="87"/>
      <c r="AN198" s="87"/>
      <c r="AO198" s="87"/>
      <c r="AP198" s="87"/>
      <c r="AQ198" s="87"/>
      <c r="AR198" s="87"/>
      <c r="AS198" s="87"/>
      <c r="AT198" s="87"/>
      <c r="AU198" s="87"/>
      <c r="AV198" s="87"/>
      <c r="AW198" s="87"/>
      <c r="AX198" s="87"/>
      <c r="AY198" s="87"/>
      <c r="AZ198" s="87"/>
      <c r="BA198" s="87"/>
      <c r="BB198" s="87"/>
      <c r="BC198" s="87"/>
      <c r="BD198" s="87"/>
      <c r="BE198" s="87"/>
      <c r="BF198" s="87"/>
      <c r="BG198" s="87"/>
      <c r="BH198" s="87"/>
      <c r="BI198" s="87"/>
      <c r="BJ198" s="87"/>
      <c r="BK198" s="87"/>
      <c r="BL198" s="87"/>
      <c r="BM198" s="87"/>
      <c r="BN198" s="87"/>
      <c r="BO198" s="87"/>
      <c r="BP198" s="87"/>
      <c r="BQ198" s="87"/>
      <c r="BR198" s="87"/>
      <c r="BS198" s="87"/>
      <c r="BT198" s="87"/>
      <c r="BU198" s="87"/>
      <c r="BV198" s="87"/>
      <c r="BW198" s="87"/>
      <c r="BX198" s="87"/>
      <c r="BY198" s="87"/>
      <c r="BZ198" s="87"/>
      <c r="CA198" s="87"/>
      <c r="CB198" s="87"/>
      <c r="CC198" s="87"/>
      <c r="CD198" s="87"/>
      <c r="CE198" s="87"/>
      <c r="CF198" s="87"/>
      <c r="CG198" s="87"/>
      <c r="CH198" s="87"/>
      <c r="CI198" s="87"/>
      <c r="CJ198" s="87"/>
      <c r="CK198" s="87"/>
      <c r="CL198" s="87"/>
      <c r="CM198" s="87"/>
      <c r="CN198" s="87"/>
      <c r="CO198" s="87"/>
      <c r="CP198" s="87"/>
      <c r="CQ198" s="87"/>
      <c r="CR198" s="87"/>
      <c r="CS198" s="87"/>
      <c r="CT198" s="87"/>
      <c r="CU198" s="87"/>
      <c r="CV198" s="87"/>
      <c r="CW198" s="87"/>
      <c r="CX198" s="87"/>
    </row>
    <row r="199" spans="16:102" x14ac:dyDescent="0.3">
      <c r="P199" s="87"/>
      <c r="Q199" s="87"/>
      <c r="R199" s="87"/>
      <c r="S199" s="87"/>
      <c r="T199" s="87"/>
      <c r="U199" s="87"/>
      <c r="V199" s="87"/>
      <c r="W199" s="87"/>
      <c r="X199" s="88"/>
      <c r="Y199" s="87"/>
      <c r="Z199" s="87"/>
      <c r="AA199" s="87"/>
      <c r="AB199" s="87"/>
      <c r="AC199" s="87"/>
      <c r="AD199" s="87"/>
      <c r="AE199" s="87"/>
      <c r="AF199" s="87"/>
      <c r="AG199" s="88"/>
      <c r="AH199" s="88"/>
      <c r="AI199" s="88"/>
      <c r="AJ199" s="88"/>
      <c r="AK199" s="87"/>
      <c r="AL199" s="87"/>
      <c r="AM199" s="87"/>
      <c r="AN199" s="87"/>
      <c r="AO199" s="87"/>
      <c r="AP199" s="87"/>
      <c r="AQ199" s="87"/>
      <c r="AR199" s="87"/>
      <c r="AS199" s="87"/>
      <c r="AT199" s="87"/>
      <c r="AU199" s="87"/>
      <c r="AV199" s="87"/>
      <c r="AW199" s="87"/>
      <c r="AX199" s="87"/>
      <c r="AY199" s="87"/>
      <c r="AZ199" s="87"/>
      <c r="BA199" s="87"/>
      <c r="BB199" s="87"/>
      <c r="BC199" s="87"/>
      <c r="BD199" s="87"/>
      <c r="BE199" s="87"/>
      <c r="BF199" s="87"/>
      <c r="BG199" s="87"/>
      <c r="BH199" s="87"/>
      <c r="BI199" s="87"/>
      <c r="BJ199" s="87"/>
      <c r="BK199" s="87"/>
      <c r="BL199" s="87"/>
      <c r="BM199" s="87"/>
      <c r="BN199" s="87"/>
      <c r="BO199" s="87"/>
      <c r="BP199" s="87"/>
      <c r="BQ199" s="87"/>
      <c r="BR199" s="87"/>
      <c r="BS199" s="87"/>
      <c r="BT199" s="87"/>
      <c r="BU199" s="87"/>
      <c r="BV199" s="87"/>
      <c r="BW199" s="87"/>
      <c r="BX199" s="87"/>
      <c r="BY199" s="87"/>
      <c r="BZ199" s="87"/>
      <c r="CA199" s="87"/>
      <c r="CB199" s="87"/>
      <c r="CC199" s="87"/>
      <c r="CD199" s="87"/>
      <c r="CE199" s="87"/>
      <c r="CF199" s="87"/>
      <c r="CG199" s="87"/>
      <c r="CH199" s="87"/>
      <c r="CI199" s="87"/>
      <c r="CJ199" s="87"/>
      <c r="CK199" s="87"/>
      <c r="CL199" s="87"/>
      <c r="CM199" s="87"/>
      <c r="CN199" s="87"/>
      <c r="CO199" s="87"/>
      <c r="CP199" s="87"/>
      <c r="CQ199" s="87"/>
      <c r="CR199" s="87"/>
      <c r="CS199" s="87"/>
      <c r="CT199" s="87"/>
      <c r="CU199" s="87"/>
      <c r="CV199" s="87"/>
      <c r="CW199" s="87"/>
      <c r="CX199" s="87"/>
    </row>
    <row r="200" spans="16:102" x14ac:dyDescent="0.3">
      <c r="P200" s="87"/>
      <c r="Q200" s="87"/>
      <c r="R200" s="87"/>
      <c r="S200" s="87"/>
      <c r="T200" s="87"/>
      <c r="U200" s="87"/>
      <c r="V200" s="87"/>
      <c r="W200" s="87"/>
      <c r="X200" s="88"/>
      <c r="Y200" s="87"/>
      <c r="Z200" s="87"/>
      <c r="AA200" s="87"/>
      <c r="AB200" s="87"/>
      <c r="AC200" s="87"/>
      <c r="AD200" s="87"/>
      <c r="AE200" s="87"/>
      <c r="AF200" s="87"/>
      <c r="AG200" s="88"/>
      <c r="AH200" s="88"/>
      <c r="AI200" s="88"/>
      <c r="AJ200" s="88"/>
      <c r="AK200" s="87"/>
      <c r="AL200" s="87"/>
      <c r="AM200" s="87"/>
      <c r="AN200" s="87"/>
      <c r="AO200" s="87"/>
      <c r="AP200" s="87"/>
      <c r="AQ200" s="87"/>
      <c r="AR200" s="87"/>
      <c r="AS200" s="87"/>
      <c r="AT200" s="87"/>
      <c r="AU200" s="87"/>
      <c r="AV200" s="87"/>
      <c r="AW200" s="87"/>
      <c r="AX200" s="87"/>
      <c r="AY200" s="87"/>
      <c r="AZ200" s="87"/>
      <c r="BA200" s="87"/>
      <c r="BB200" s="87"/>
      <c r="BC200" s="87"/>
      <c r="BD200" s="87"/>
      <c r="BE200" s="87"/>
      <c r="BF200" s="87"/>
      <c r="BG200" s="87"/>
      <c r="BH200" s="87"/>
      <c r="BI200" s="87"/>
      <c r="BJ200" s="87"/>
      <c r="BK200" s="87"/>
      <c r="BL200" s="87"/>
      <c r="BM200" s="87"/>
      <c r="BN200" s="87"/>
      <c r="BO200" s="87"/>
      <c r="BP200" s="87"/>
      <c r="BQ200" s="87"/>
      <c r="BR200" s="87"/>
      <c r="BS200" s="87"/>
      <c r="BT200" s="87"/>
      <c r="BU200" s="87"/>
      <c r="BV200" s="87"/>
      <c r="BW200" s="87"/>
      <c r="BX200" s="87"/>
      <c r="BY200" s="87"/>
      <c r="BZ200" s="87"/>
      <c r="CA200" s="87"/>
      <c r="CB200" s="87"/>
      <c r="CC200" s="87"/>
      <c r="CD200" s="87"/>
      <c r="CE200" s="87"/>
      <c r="CF200" s="87"/>
      <c r="CG200" s="87"/>
      <c r="CH200" s="87"/>
      <c r="CI200" s="87"/>
      <c r="CJ200" s="87"/>
      <c r="CK200" s="87"/>
      <c r="CL200" s="87"/>
      <c r="CM200" s="87"/>
      <c r="CN200" s="87"/>
      <c r="CO200" s="87"/>
      <c r="CP200" s="87"/>
      <c r="CQ200" s="87"/>
      <c r="CR200" s="87"/>
      <c r="CS200" s="87"/>
      <c r="CT200" s="87"/>
      <c r="CU200" s="87"/>
      <c r="CV200" s="87"/>
      <c r="CW200" s="87"/>
      <c r="CX200" s="87"/>
    </row>
    <row r="201" spans="16:102" x14ac:dyDescent="0.3">
      <c r="P201" s="87"/>
      <c r="Q201" s="87"/>
      <c r="R201" s="87"/>
      <c r="S201" s="87"/>
      <c r="T201" s="87"/>
      <c r="U201" s="87"/>
      <c r="V201" s="87"/>
      <c r="W201" s="87"/>
      <c r="X201" s="88"/>
      <c r="Y201" s="87"/>
      <c r="Z201" s="87"/>
      <c r="AA201" s="87"/>
      <c r="AB201" s="87"/>
      <c r="AC201" s="87"/>
      <c r="AD201" s="87"/>
      <c r="AE201" s="87"/>
      <c r="AF201" s="87"/>
      <c r="AG201" s="88"/>
      <c r="AH201" s="88"/>
      <c r="AI201" s="88"/>
      <c r="AJ201" s="88"/>
      <c r="AK201" s="87"/>
      <c r="AL201" s="87"/>
      <c r="AM201" s="87"/>
      <c r="AN201" s="87"/>
      <c r="AO201" s="87"/>
      <c r="AP201" s="87"/>
      <c r="AQ201" s="87"/>
      <c r="AR201" s="87"/>
      <c r="AS201" s="87"/>
      <c r="AT201" s="87"/>
      <c r="AU201" s="87"/>
      <c r="AV201" s="87"/>
      <c r="AW201" s="87"/>
      <c r="AX201" s="87"/>
      <c r="AY201" s="87"/>
      <c r="AZ201" s="87"/>
      <c r="BA201" s="87"/>
      <c r="BB201" s="87"/>
      <c r="BC201" s="87"/>
      <c r="BD201" s="87"/>
      <c r="BE201" s="87"/>
      <c r="BF201" s="87"/>
      <c r="BG201" s="87"/>
      <c r="BH201" s="87"/>
      <c r="BI201" s="87"/>
      <c r="BJ201" s="87"/>
      <c r="BK201" s="87"/>
      <c r="BL201" s="87"/>
      <c r="BM201" s="87"/>
      <c r="BN201" s="87"/>
      <c r="BO201" s="87"/>
      <c r="BP201" s="87"/>
      <c r="BQ201" s="87"/>
      <c r="BR201" s="87"/>
      <c r="BS201" s="87"/>
      <c r="BT201" s="87"/>
      <c r="BU201" s="87"/>
      <c r="BV201" s="87"/>
      <c r="BW201" s="87"/>
      <c r="BX201" s="87"/>
      <c r="BY201" s="87"/>
      <c r="BZ201" s="87"/>
      <c r="CA201" s="87"/>
      <c r="CB201" s="87"/>
      <c r="CC201" s="87"/>
      <c r="CD201" s="87"/>
      <c r="CE201" s="87"/>
      <c r="CF201" s="87"/>
      <c r="CG201" s="87"/>
      <c r="CH201" s="87"/>
      <c r="CI201" s="87"/>
      <c r="CJ201" s="87"/>
      <c r="CK201" s="87"/>
      <c r="CL201" s="87"/>
      <c r="CM201" s="87"/>
      <c r="CN201" s="87"/>
      <c r="CO201" s="87"/>
      <c r="CP201" s="87"/>
      <c r="CQ201" s="87"/>
      <c r="CR201" s="87"/>
      <c r="CS201" s="87"/>
      <c r="CT201" s="87"/>
      <c r="CU201" s="87"/>
      <c r="CV201" s="87"/>
      <c r="CW201" s="87"/>
      <c r="CX201" s="87"/>
    </row>
    <row r="202" spans="16:102" x14ac:dyDescent="0.3">
      <c r="P202" s="87"/>
      <c r="Q202" s="87"/>
      <c r="R202" s="87"/>
      <c r="S202" s="87"/>
      <c r="T202" s="87"/>
      <c r="U202" s="87"/>
      <c r="V202" s="87"/>
      <c r="W202" s="87"/>
      <c r="X202" s="88"/>
      <c r="Y202" s="87"/>
      <c r="Z202" s="87"/>
      <c r="AA202" s="87"/>
      <c r="AB202" s="87"/>
      <c r="AC202" s="87"/>
      <c r="AD202" s="87"/>
      <c r="AE202" s="87"/>
      <c r="AF202" s="87"/>
      <c r="AG202" s="88"/>
      <c r="AH202" s="88"/>
      <c r="AI202" s="88"/>
      <c r="AJ202" s="88"/>
      <c r="AK202" s="87"/>
      <c r="AL202" s="87"/>
      <c r="AM202" s="87"/>
      <c r="AN202" s="87"/>
      <c r="AO202" s="87"/>
      <c r="AP202" s="87"/>
      <c r="AQ202" s="87"/>
      <c r="AR202" s="87"/>
      <c r="AS202" s="87"/>
      <c r="AT202" s="87"/>
      <c r="AU202" s="87"/>
      <c r="AV202" s="87"/>
      <c r="AW202" s="87"/>
      <c r="AX202" s="87"/>
      <c r="AY202" s="87"/>
      <c r="AZ202" s="87"/>
      <c r="BA202" s="87"/>
      <c r="BB202" s="87"/>
      <c r="BC202" s="87"/>
      <c r="BD202" s="87"/>
      <c r="BE202" s="87"/>
      <c r="BF202" s="87"/>
      <c r="BG202" s="87"/>
      <c r="BH202" s="87"/>
      <c r="BI202" s="87"/>
      <c r="BJ202" s="87"/>
      <c r="BK202" s="87"/>
      <c r="BL202" s="87"/>
      <c r="BM202" s="87"/>
      <c r="BN202" s="87"/>
      <c r="BO202" s="87"/>
      <c r="BP202" s="87"/>
      <c r="BQ202" s="87"/>
      <c r="BR202" s="87"/>
      <c r="BS202" s="87"/>
      <c r="BT202" s="87"/>
      <c r="BU202" s="87"/>
      <c r="BV202" s="87"/>
      <c r="BW202" s="87"/>
      <c r="BX202" s="87"/>
      <c r="BY202" s="87"/>
      <c r="BZ202" s="87"/>
      <c r="CA202" s="87"/>
      <c r="CB202" s="87"/>
      <c r="CC202" s="87"/>
      <c r="CD202" s="87"/>
      <c r="CE202" s="87"/>
      <c r="CF202" s="87"/>
      <c r="CG202" s="87"/>
      <c r="CH202" s="87"/>
      <c r="CI202" s="87"/>
      <c r="CJ202" s="87"/>
      <c r="CK202" s="87"/>
      <c r="CL202" s="87"/>
      <c r="CM202" s="87"/>
      <c r="CN202" s="87"/>
      <c r="CO202" s="87"/>
      <c r="CP202" s="87"/>
      <c r="CQ202" s="87"/>
      <c r="CR202" s="87"/>
      <c r="CS202" s="87"/>
      <c r="CT202" s="87"/>
      <c r="CU202" s="87"/>
      <c r="CV202" s="87"/>
      <c r="CW202" s="87"/>
      <c r="CX202" s="87"/>
    </row>
    <row r="203" spans="16:102" x14ac:dyDescent="0.3">
      <c r="P203" s="87"/>
      <c r="Q203" s="87"/>
      <c r="R203" s="87"/>
      <c r="S203" s="87"/>
      <c r="T203" s="87"/>
      <c r="U203" s="87"/>
      <c r="V203" s="87"/>
      <c r="W203" s="87"/>
      <c r="X203" s="88"/>
      <c r="Y203" s="87"/>
      <c r="Z203" s="87"/>
      <c r="AA203" s="87"/>
      <c r="AB203" s="87"/>
      <c r="AC203" s="87"/>
      <c r="AD203" s="87"/>
      <c r="AE203" s="87"/>
      <c r="AF203" s="87"/>
      <c r="AG203" s="88"/>
      <c r="AH203" s="88"/>
      <c r="AI203" s="88"/>
      <c r="AJ203" s="88"/>
      <c r="AK203" s="87"/>
      <c r="AL203" s="87"/>
      <c r="AM203" s="87"/>
      <c r="AN203" s="87"/>
      <c r="AO203" s="87"/>
      <c r="AP203" s="87"/>
      <c r="AQ203" s="87"/>
      <c r="AR203" s="87"/>
      <c r="AS203" s="87"/>
      <c r="AT203" s="87"/>
      <c r="AU203" s="87"/>
      <c r="AV203" s="87"/>
      <c r="AW203" s="87"/>
      <c r="AX203" s="87"/>
      <c r="AY203" s="87"/>
      <c r="AZ203" s="87"/>
      <c r="BA203" s="87"/>
      <c r="BB203" s="87"/>
      <c r="BC203" s="87"/>
      <c r="BD203" s="87"/>
      <c r="BE203" s="87"/>
      <c r="BF203" s="87"/>
      <c r="BG203" s="87"/>
      <c r="BH203" s="87"/>
      <c r="BI203" s="87"/>
      <c r="BJ203" s="87"/>
      <c r="BK203" s="87"/>
      <c r="BL203" s="87"/>
      <c r="BM203" s="87"/>
      <c r="BN203" s="87"/>
      <c r="BO203" s="87"/>
      <c r="BP203" s="87"/>
      <c r="BQ203" s="87"/>
      <c r="BR203" s="87"/>
      <c r="BS203" s="87"/>
      <c r="BT203" s="87"/>
      <c r="BU203" s="87"/>
      <c r="BV203" s="87"/>
      <c r="BW203" s="87"/>
      <c r="BX203" s="87"/>
      <c r="BY203" s="87"/>
      <c r="BZ203" s="87"/>
      <c r="CA203" s="87"/>
      <c r="CB203" s="87"/>
      <c r="CC203" s="87"/>
      <c r="CD203" s="87"/>
      <c r="CE203" s="87"/>
      <c r="CF203" s="87"/>
      <c r="CG203" s="87"/>
      <c r="CH203" s="87"/>
      <c r="CI203" s="87"/>
      <c r="CJ203" s="87"/>
      <c r="CK203" s="87"/>
      <c r="CL203" s="87"/>
      <c r="CM203" s="87"/>
      <c r="CN203" s="87"/>
      <c r="CO203" s="87"/>
      <c r="CP203" s="87"/>
      <c r="CQ203" s="87"/>
      <c r="CR203" s="87"/>
      <c r="CS203" s="87"/>
      <c r="CT203" s="87"/>
      <c r="CU203" s="87"/>
      <c r="CV203" s="87"/>
      <c r="CW203" s="87"/>
      <c r="CX203" s="87"/>
    </row>
    <row r="204" spans="16:102" x14ac:dyDescent="0.3">
      <c r="P204" s="87"/>
      <c r="Q204" s="87"/>
      <c r="R204" s="87"/>
      <c r="S204" s="87"/>
      <c r="T204" s="87"/>
      <c r="U204" s="87"/>
      <c r="V204" s="87"/>
      <c r="W204" s="87"/>
      <c r="X204" s="88"/>
      <c r="Y204" s="87"/>
      <c r="Z204" s="87"/>
      <c r="AA204" s="87"/>
      <c r="AB204" s="87"/>
      <c r="AC204" s="87"/>
      <c r="AD204" s="87"/>
      <c r="AE204" s="87"/>
      <c r="AF204" s="87"/>
      <c r="AG204" s="88"/>
      <c r="AH204" s="88"/>
      <c r="AI204" s="88"/>
      <c r="AJ204" s="88"/>
      <c r="AK204" s="87"/>
      <c r="AL204" s="87"/>
      <c r="AM204" s="87"/>
      <c r="AN204" s="87"/>
      <c r="AO204" s="87"/>
      <c r="AP204" s="87"/>
      <c r="AQ204" s="87"/>
      <c r="AR204" s="87"/>
      <c r="AS204" s="87"/>
      <c r="AT204" s="87"/>
      <c r="AU204" s="87"/>
      <c r="AV204" s="87"/>
      <c r="AW204" s="87"/>
      <c r="AX204" s="87"/>
      <c r="AY204" s="87"/>
      <c r="AZ204" s="87"/>
      <c r="BA204" s="87"/>
      <c r="BB204" s="87"/>
      <c r="BC204" s="87"/>
      <c r="BD204" s="87"/>
      <c r="BE204" s="87"/>
      <c r="BF204" s="87"/>
      <c r="BG204" s="87"/>
      <c r="BH204" s="87"/>
      <c r="BI204" s="87"/>
      <c r="BJ204" s="87"/>
      <c r="BK204" s="87"/>
      <c r="BL204" s="87"/>
      <c r="BM204" s="87"/>
      <c r="BN204" s="87"/>
      <c r="BO204" s="87"/>
      <c r="BP204" s="87"/>
      <c r="BQ204" s="87"/>
      <c r="BR204" s="87"/>
      <c r="BS204" s="87"/>
      <c r="BT204" s="87"/>
      <c r="BU204" s="87"/>
      <c r="BV204" s="87"/>
      <c r="BW204" s="87"/>
      <c r="BX204" s="87"/>
      <c r="BY204" s="87"/>
      <c r="BZ204" s="87"/>
      <c r="CA204" s="87"/>
      <c r="CB204" s="87"/>
      <c r="CC204" s="87"/>
      <c r="CD204" s="87"/>
      <c r="CE204" s="87"/>
      <c r="CF204" s="87"/>
      <c r="CG204" s="87"/>
      <c r="CH204" s="87"/>
      <c r="CI204" s="87"/>
      <c r="CJ204" s="87"/>
      <c r="CK204" s="87"/>
      <c r="CL204" s="87"/>
      <c r="CM204" s="87"/>
      <c r="CN204" s="87"/>
      <c r="CO204" s="87"/>
      <c r="CP204" s="87"/>
      <c r="CQ204" s="87"/>
      <c r="CR204" s="87"/>
      <c r="CS204" s="87"/>
      <c r="CT204" s="87"/>
      <c r="CU204" s="87"/>
      <c r="CV204" s="87"/>
      <c r="CW204" s="87"/>
      <c r="CX204" s="87"/>
    </row>
    <row r="205" spans="16:102" x14ac:dyDescent="0.3">
      <c r="P205" s="87"/>
      <c r="Q205" s="87"/>
      <c r="R205" s="87"/>
      <c r="S205" s="87"/>
      <c r="T205" s="87"/>
      <c r="U205" s="87"/>
      <c r="V205" s="87"/>
      <c r="W205" s="87"/>
      <c r="X205" s="88"/>
      <c r="Y205" s="87"/>
      <c r="Z205" s="87"/>
      <c r="AA205" s="87"/>
      <c r="AB205" s="87"/>
      <c r="AC205" s="87"/>
      <c r="AD205" s="87"/>
      <c r="AE205" s="87"/>
      <c r="AF205" s="87"/>
      <c r="AG205" s="88"/>
      <c r="AH205" s="88"/>
      <c r="AI205" s="88"/>
      <c r="AJ205" s="88"/>
      <c r="AK205" s="87"/>
      <c r="AL205" s="87"/>
      <c r="AM205" s="87"/>
      <c r="AN205" s="87"/>
      <c r="AO205" s="87"/>
      <c r="AP205" s="87"/>
      <c r="AQ205" s="87"/>
      <c r="AR205" s="87"/>
      <c r="AS205" s="87"/>
      <c r="AT205" s="87"/>
      <c r="AU205" s="87"/>
      <c r="AV205" s="87"/>
      <c r="AW205" s="87"/>
      <c r="AX205" s="87"/>
      <c r="AY205" s="87"/>
      <c r="AZ205" s="87"/>
      <c r="BA205" s="87"/>
      <c r="BB205" s="87"/>
      <c r="BC205" s="87"/>
      <c r="BD205" s="87"/>
      <c r="BE205" s="87"/>
      <c r="BF205" s="87"/>
      <c r="BG205" s="87"/>
      <c r="BH205" s="87"/>
      <c r="BI205" s="87"/>
      <c r="BJ205" s="87"/>
      <c r="BK205" s="87"/>
      <c r="BL205" s="87"/>
      <c r="BM205" s="87"/>
      <c r="BN205" s="87"/>
      <c r="BO205" s="87"/>
      <c r="BP205" s="87"/>
      <c r="BQ205" s="87"/>
      <c r="BR205" s="87"/>
      <c r="BS205" s="87"/>
      <c r="BT205" s="87"/>
      <c r="BU205" s="87"/>
      <c r="BV205" s="87"/>
      <c r="BW205" s="87"/>
      <c r="BX205" s="87"/>
      <c r="BY205" s="87"/>
      <c r="BZ205" s="87"/>
      <c r="CA205" s="87"/>
      <c r="CB205" s="87"/>
      <c r="CC205" s="87"/>
      <c r="CD205" s="87"/>
      <c r="CE205" s="87"/>
      <c r="CF205" s="87"/>
      <c r="CG205" s="87"/>
      <c r="CH205" s="87"/>
      <c r="CI205" s="87"/>
      <c r="CJ205" s="87"/>
      <c r="CK205" s="87"/>
      <c r="CL205" s="87"/>
      <c r="CM205" s="87"/>
      <c r="CN205" s="87"/>
      <c r="CO205" s="87"/>
      <c r="CP205" s="87"/>
      <c r="CQ205" s="87"/>
      <c r="CR205" s="87"/>
      <c r="CS205" s="87"/>
      <c r="CT205" s="87"/>
      <c r="CU205" s="87"/>
      <c r="CV205" s="87"/>
      <c r="CW205" s="87"/>
      <c r="CX205" s="87"/>
    </row>
    <row r="206" spans="16:102" x14ac:dyDescent="0.3">
      <c r="P206" s="87"/>
      <c r="Q206" s="87"/>
      <c r="R206" s="87"/>
      <c r="S206" s="87"/>
      <c r="T206" s="87"/>
      <c r="U206" s="87"/>
      <c r="V206" s="87"/>
      <c r="W206" s="87"/>
      <c r="X206" s="88"/>
      <c r="Y206" s="87"/>
      <c r="Z206" s="87"/>
      <c r="AA206" s="87"/>
      <c r="AB206" s="87"/>
      <c r="AC206" s="87"/>
      <c r="AD206" s="87"/>
      <c r="AE206" s="87"/>
      <c r="AF206" s="87"/>
      <c r="AG206" s="88"/>
      <c r="AH206" s="88"/>
      <c r="AI206" s="88"/>
      <c r="AJ206" s="88"/>
      <c r="AK206" s="87"/>
      <c r="AL206" s="87"/>
      <c r="AM206" s="87"/>
      <c r="AN206" s="87"/>
      <c r="AO206" s="87"/>
      <c r="AP206" s="87"/>
      <c r="AQ206" s="87"/>
      <c r="AR206" s="87"/>
      <c r="AS206" s="87"/>
      <c r="AT206" s="87"/>
      <c r="AU206" s="87"/>
      <c r="AV206" s="87"/>
      <c r="AW206" s="87"/>
      <c r="AX206" s="87"/>
      <c r="AY206" s="87"/>
      <c r="AZ206" s="87"/>
      <c r="BA206" s="87"/>
      <c r="BB206" s="87"/>
      <c r="BC206" s="87"/>
      <c r="BD206" s="87"/>
      <c r="BE206" s="87"/>
      <c r="BF206" s="87"/>
      <c r="BG206" s="87"/>
      <c r="BH206" s="87"/>
      <c r="BI206" s="87"/>
      <c r="BJ206" s="87"/>
      <c r="BK206" s="87"/>
      <c r="BL206" s="87"/>
      <c r="BM206" s="87"/>
      <c r="BN206" s="87"/>
      <c r="BO206" s="87"/>
      <c r="BP206" s="87"/>
      <c r="BQ206" s="87"/>
      <c r="BR206" s="87"/>
      <c r="BS206" s="87"/>
      <c r="BT206" s="87"/>
      <c r="BU206" s="87"/>
      <c r="BV206" s="87"/>
      <c r="BW206" s="87"/>
      <c r="BX206" s="87"/>
      <c r="BY206" s="87"/>
      <c r="BZ206" s="87"/>
      <c r="CA206" s="87"/>
      <c r="CB206" s="87"/>
      <c r="CC206" s="87"/>
      <c r="CD206" s="87"/>
      <c r="CE206" s="87"/>
      <c r="CF206" s="87"/>
      <c r="CG206" s="87"/>
      <c r="CH206" s="87"/>
      <c r="CI206" s="87"/>
      <c r="CJ206" s="87"/>
      <c r="CK206" s="87"/>
      <c r="CL206" s="87"/>
      <c r="CM206" s="87"/>
      <c r="CN206" s="87"/>
      <c r="CO206" s="87"/>
      <c r="CP206" s="87"/>
      <c r="CQ206" s="87"/>
      <c r="CR206" s="87"/>
      <c r="CS206" s="87"/>
      <c r="CT206" s="87"/>
      <c r="CU206" s="87"/>
      <c r="CV206" s="87"/>
      <c r="CW206" s="87"/>
      <c r="CX206" s="87"/>
    </row>
  </sheetData>
  <sheetProtection algorithmName="SHA-512" hashValue="1IoGWXtODI2xRt1SrBy/Nv+eRGVEFcqxESX28hOUbUD9dz1Z84npEKgrKxipoSobTWAnVVT5qH5kjxIIlNaLzQ==" saltValue="4gpqyLx7Kjo90nJolxonhg==" spinCount="100000" sheet="1" objects="1" scenarios="1"/>
  <mergeCells count="2">
    <mergeCell ref="C50:O50"/>
    <mergeCell ref="C96:O96"/>
  </mergeCells>
  <pageMargins left="0.7" right="0.7" top="0.75" bottom="0.75" header="0.3" footer="0.3"/>
  <pageSetup paperSize="8" scale="76" fitToHeight="0" orientation="portrait" r:id="rId1"/>
  <headerFooter>
    <oddFooter>&amp;C&amp;F</oddFooter>
  </headerFooter>
  <rowBreaks count="1" manualBreakCount="1">
    <brk id="48" min="1"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177"/>
  <sheetViews>
    <sheetView showGridLines="0" tabSelected="1" topLeftCell="B1" workbookViewId="0">
      <selection activeCell="N9" sqref="N9"/>
    </sheetView>
  </sheetViews>
  <sheetFormatPr defaultColWidth="8.88671875" defaultRowHeight="13.8" outlineLevelCol="1" x14ac:dyDescent="0.3"/>
  <cols>
    <col min="1" max="1" width="8.88671875" style="98" hidden="1" customWidth="1" outlineLevel="1"/>
    <col min="2" max="2" width="5.88671875" style="98" customWidth="1" collapsed="1"/>
    <col min="3" max="3" width="10.6640625" style="98" customWidth="1"/>
    <col min="4" max="4" width="13.44140625" style="98" customWidth="1"/>
    <col min="5" max="5" width="11.44140625" style="98" customWidth="1"/>
    <col min="6" max="6" width="11" style="98" customWidth="1"/>
    <col min="7" max="7" width="10.6640625" style="98" customWidth="1"/>
    <col min="8" max="8" width="12.33203125" style="98" customWidth="1"/>
    <col min="9" max="9" width="11.44140625" style="98" customWidth="1"/>
    <col min="10" max="10" width="10.6640625" style="98" customWidth="1"/>
    <col min="11" max="12" width="12.6640625" style="98" customWidth="1"/>
    <col min="13" max="13" width="18.44140625" style="98" bestFit="1" customWidth="1"/>
    <col min="14" max="14" width="16.6640625" style="98" bestFit="1" customWidth="1"/>
    <col min="15" max="15" width="20.109375" style="98" bestFit="1" customWidth="1"/>
    <col min="16" max="16" width="10.6640625" style="98" customWidth="1"/>
    <col min="17" max="17" width="10.33203125" style="98" customWidth="1"/>
    <col min="18" max="18" width="9.33203125" style="98" bestFit="1" customWidth="1"/>
    <col min="19" max="19" width="9" style="98" bestFit="1" customWidth="1"/>
    <col min="20" max="20" width="10.44140625" style="98" bestFit="1" customWidth="1"/>
    <col min="21" max="21" width="11.44140625" style="98" customWidth="1"/>
    <col min="22" max="22" width="12.5546875" style="98" customWidth="1"/>
    <col min="23" max="23" width="10.6640625" style="98" customWidth="1"/>
    <col min="24" max="24" width="11.6640625" style="188" bestFit="1" customWidth="1"/>
    <col min="25" max="25" width="11.6640625" style="98" bestFit="1" customWidth="1"/>
    <col min="26" max="29" width="8.88671875" style="98"/>
    <col min="30" max="30" width="9" style="98" bestFit="1" customWidth="1"/>
    <col min="31" max="32" width="11.5546875" style="98" customWidth="1" outlineLevel="1"/>
    <col min="33" max="33" width="9.6640625" style="188" customWidth="1" outlineLevel="1"/>
    <col min="34" max="34" width="8.88671875" style="188" customWidth="1" outlineLevel="1"/>
    <col min="35" max="36" width="8.88671875" style="188"/>
    <col min="37" max="38" width="9" style="98" bestFit="1" customWidth="1"/>
    <col min="39" max="40" width="8.88671875" style="98"/>
    <col min="41" max="41" width="13.5546875" style="98" bestFit="1" customWidth="1"/>
    <col min="42" max="42" width="12" style="98" bestFit="1" customWidth="1"/>
    <col min="43" max="43" width="9.44140625" style="98" customWidth="1"/>
    <col min="44" max="16384" width="8.88671875" style="98"/>
  </cols>
  <sheetData>
    <row r="1" spans="2:15" x14ac:dyDescent="0.3">
      <c r="D1" s="100"/>
      <c r="E1" s="101"/>
      <c r="F1" s="101"/>
      <c r="G1" s="100"/>
      <c r="H1" s="100"/>
      <c r="I1" s="100"/>
      <c r="J1" s="100"/>
      <c r="K1" s="101"/>
      <c r="L1" s="101"/>
    </row>
    <row r="2" spans="2:15" x14ac:dyDescent="0.3">
      <c r="B2" s="41"/>
      <c r="C2" s="5"/>
      <c r="D2" s="76" t="s">
        <v>54</v>
      </c>
      <c r="E2" s="34" t="s">
        <v>55</v>
      </c>
      <c r="F2" s="34"/>
      <c r="G2" s="6"/>
      <c r="H2" s="6"/>
      <c r="I2" s="6"/>
      <c r="J2" s="6"/>
      <c r="K2" s="6"/>
      <c r="L2" s="6"/>
      <c r="M2" s="6"/>
      <c r="N2" s="105" t="s">
        <v>56</v>
      </c>
      <c r="O2" s="7" t="s">
        <v>57</v>
      </c>
    </row>
    <row r="3" spans="2:15" x14ac:dyDescent="0.3">
      <c r="B3" s="41"/>
      <c r="C3" s="8"/>
      <c r="D3" s="77" t="s">
        <v>58</v>
      </c>
      <c r="E3" s="375">
        <v>16343801</v>
      </c>
      <c r="F3" s="375"/>
      <c r="G3" s="9"/>
      <c r="H3" s="9"/>
      <c r="I3" s="9"/>
      <c r="J3" s="9"/>
      <c r="K3" s="9"/>
      <c r="L3" s="9"/>
      <c r="M3" s="9"/>
      <c r="N3" s="108" t="s">
        <v>59</v>
      </c>
      <c r="O3" s="11" t="s">
        <v>52</v>
      </c>
    </row>
    <row r="4" spans="2:15" x14ac:dyDescent="0.3">
      <c r="B4" s="41"/>
      <c r="C4" s="12"/>
      <c r="D4" s="78" t="s">
        <v>60</v>
      </c>
      <c r="E4" s="14" t="s">
        <v>61</v>
      </c>
      <c r="F4" s="14"/>
      <c r="G4" s="13"/>
      <c r="H4" s="13"/>
      <c r="I4" s="13"/>
      <c r="J4" s="13"/>
      <c r="K4" s="13"/>
      <c r="L4" s="13"/>
      <c r="M4" s="13"/>
      <c r="N4" s="110" t="s">
        <v>0</v>
      </c>
      <c r="O4" s="15">
        <f>Startseite!N4</f>
        <v>43755</v>
      </c>
    </row>
    <row r="5" spans="2:15" x14ac:dyDescent="0.3">
      <c r="C5" s="46"/>
      <c r="D5" s="141"/>
      <c r="E5" s="184"/>
      <c r="F5" s="184"/>
      <c r="G5" s="141"/>
      <c r="H5" s="141"/>
      <c r="I5" s="141"/>
      <c r="J5" s="141"/>
      <c r="K5" s="184"/>
      <c r="L5" s="184"/>
      <c r="M5" s="188"/>
      <c r="N5" s="188"/>
    </row>
    <row r="6" spans="2:15" x14ac:dyDescent="0.3">
      <c r="C6" s="80" t="s">
        <v>179</v>
      </c>
      <c r="D6" s="141"/>
      <c r="E6" s="184"/>
      <c r="F6" s="184"/>
      <c r="G6" s="141"/>
      <c r="H6" s="141"/>
      <c r="I6" s="141"/>
      <c r="J6" s="141"/>
      <c r="K6" s="184"/>
      <c r="L6" s="184"/>
      <c r="M6" s="188"/>
      <c r="N6" s="188"/>
    </row>
    <row r="7" spans="2:15" x14ac:dyDescent="0.3">
      <c r="C7" s="46"/>
      <c r="F7" s="329" t="s">
        <v>188</v>
      </c>
      <c r="G7" s="330"/>
      <c r="I7" s="330" t="s">
        <v>189</v>
      </c>
      <c r="J7" s="141"/>
      <c r="K7" s="184"/>
      <c r="L7" s="184"/>
      <c r="M7" s="188"/>
      <c r="N7" s="188"/>
    </row>
    <row r="8" spans="2:15" x14ac:dyDescent="0.3">
      <c r="C8" s="194" t="s">
        <v>180</v>
      </c>
      <c r="D8" s="141"/>
      <c r="E8" s="184"/>
      <c r="F8" s="331">
        <f>'Eingabeblatt 1'!D13</f>
        <v>1000</v>
      </c>
      <c r="G8" s="332"/>
      <c r="I8" s="332">
        <f>'Eingabeblatt 1'!D13</f>
        <v>1000</v>
      </c>
      <c r="J8" s="141"/>
      <c r="K8" s="184"/>
      <c r="L8" s="184"/>
      <c r="M8" s="188"/>
      <c r="N8" s="188"/>
    </row>
    <row r="9" spans="2:15" x14ac:dyDescent="0.3">
      <c r="C9" s="194" t="s">
        <v>181</v>
      </c>
      <c r="D9" s="141"/>
      <c r="E9" s="184"/>
      <c r="F9" s="331">
        <f>'Eingabeblatt 1'!D27</f>
        <v>1000</v>
      </c>
      <c r="G9" s="332"/>
      <c r="I9" s="332">
        <f>'Eingabeblatt 1'!D58</f>
        <v>750</v>
      </c>
      <c r="J9" s="141"/>
      <c r="K9" s="184"/>
      <c r="L9" s="184"/>
      <c r="M9" s="188"/>
      <c r="N9" s="188"/>
    </row>
    <row r="10" spans="2:15" x14ac:dyDescent="0.3">
      <c r="C10" s="194" t="s">
        <v>230</v>
      </c>
      <c r="D10" s="141"/>
      <c r="E10" s="184"/>
      <c r="F10" s="331">
        <f>'Eingabeblatt 1'!D30</f>
        <v>14000</v>
      </c>
      <c r="G10" s="332"/>
      <c r="I10" s="332">
        <f>'Eingabeblatt 1'!D61</f>
        <v>10250</v>
      </c>
      <c r="J10" s="141"/>
      <c r="K10" s="184"/>
      <c r="L10" s="184"/>
      <c r="M10" s="188"/>
      <c r="N10" s="188"/>
    </row>
    <row r="11" spans="2:15" hidden="1" x14ac:dyDescent="0.3">
      <c r="C11" s="194" t="s">
        <v>182</v>
      </c>
      <c r="D11" s="141"/>
      <c r="E11" s="184"/>
      <c r="F11" s="331" t="str">
        <f>'Eingabeblatt 2'!I8</f>
        <v>Kantoorblok (tot 12 lagen)</v>
      </c>
      <c r="G11" s="332"/>
      <c r="I11" s="332" t="str">
        <f>'Eingabeblatt 2'!O8</f>
        <v>Kantoorblok (tot 12 lagen)</v>
      </c>
      <c r="J11" s="141"/>
      <c r="K11" s="184"/>
      <c r="L11" s="184"/>
      <c r="M11" s="188"/>
      <c r="N11" s="188"/>
    </row>
    <row r="12" spans="2:15" x14ac:dyDescent="0.3">
      <c r="C12" s="46"/>
      <c r="D12" s="141"/>
      <c r="E12" s="184"/>
      <c r="F12" s="331"/>
      <c r="G12" s="332"/>
      <c r="I12" s="332"/>
      <c r="J12" s="141"/>
      <c r="K12" s="184"/>
      <c r="L12" s="184"/>
      <c r="M12" s="188"/>
      <c r="N12" s="188"/>
    </row>
    <row r="13" spans="2:15" x14ac:dyDescent="0.3">
      <c r="C13" s="194" t="s">
        <v>97</v>
      </c>
      <c r="D13" s="141"/>
      <c r="E13" s="184"/>
      <c r="F13" s="333">
        <f>'Eingabeblatt 1'!F33</f>
        <v>30652634.039999999</v>
      </c>
      <c r="G13" s="334"/>
      <c r="I13" s="334">
        <f>'Eingabeblatt 1'!F64</f>
        <v>30436100.955750003</v>
      </c>
      <c r="J13" s="141"/>
      <c r="K13" s="184"/>
      <c r="L13" s="184"/>
      <c r="M13" s="188"/>
      <c r="N13" s="188"/>
    </row>
    <row r="14" spans="2:15" x14ac:dyDescent="0.3">
      <c r="C14" s="194" t="s">
        <v>183</v>
      </c>
      <c r="D14" s="141"/>
      <c r="E14" s="184"/>
      <c r="F14" s="333">
        <f>F13/F10</f>
        <v>2189.4738600000001</v>
      </c>
      <c r="G14" s="334"/>
      <c r="I14" s="333">
        <f>I13/I10</f>
        <v>2969.3757030000002</v>
      </c>
      <c r="J14" s="141"/>
      <c r="K14" s="184"/>
      <c r="L14" s="184"/>
      <c r="M14" s="188"/>
      <c r="N14" s="188"/>
    </row>
    <row r="15" spans="2:15" x14ac:dyDescent="0.3">
      <c r="C15" s="194"/>
      <c r="D15" s="141"/>
      <c r="E15" s="184"/>
      <c r="F15" s="184"/>
      <c r="G15" s="141"/>
      <c r="I15" s="184"/>
      <c r="J15" s="141"/>
      <c r="K15" s="184"/>
      <c r="L15" s="184"/>
      <c r="M15" s="188"/>
      <c r="N15" s="188"/>
    </row>
    <row r="16" spans="2:15" x14ac:dyDescent="0.3">
      <c r="C16" s="194" t="s">
        <v>184</v>
      </c>
      <c r="D16" s="141"/>
      <c r="E16" s="184"/>
      <c r="F16" s="335">
        <f>'Eingabeblatt 1'!H45</f>
        <v>93473.66</v>
      </c>
      <c r="G16" s="284"/>
      <c r="I16" s="335">
        <f>'Eingabeblatt 1'!H75</f>
        <v>0</v>
      </c>
      <c r="J16" s="141"/>
      <c r="K16" s="184"/>
      <c r="L16" s="184"/>
      <c r="M16" s="188"/>
      <c r="N16" s="188"/>
    </row>
    <row r="17" spans="3:16" x14ac:dyDescent="0.3">
      <c r="C17" s="194" t="s">
        <v>185</v>
      </c>
      <c r="D17" s="141"/>
      <c r="E17" s="184"/>
      <c r="F17" s="335">
        <f>'Eingabeblatt 1'!H46</f>
        <v>4059.9999999999995</v>
      </c>
      <c r="G17" s="284"/>
      <c r="I17" s="335">
        <f>'Eingabeblatt 1'!H76</f>
        <v>3248</v>
      </c>
      <c r="J17" s="141"/>
      <c r="K17" s="184"/>
      <c r="L17" s="184"/>
      <c r="M17" s="188"/>
      <c r="N17" s="188"/>
    </row>
    <row r="18" spans="3:16" x14ac:dyDescent="0.3">
      <c r="C18" s="194" t="s">
        <v>186</v>
      </c>
      <c r="D18" s="141"/>
      <c r="E18" s="184"/>
      <c r="F18" s="335">
        <f>'Eingabeblatt 1'!H47</f>
        <v>131300.4</v>
      </c>
      <c r="G18" s="284"/>
      <c r="I18" s="335">
        <f>'Eingabeblatt 1'!H77</f>
        <v>170690.52</v>
      </c>
      <c r="J18" s="141"/>
      <c r="K18" s="184"/>
      <c r="L18" s="184"/>
      <c r="M18" s="188"/>
      <c r="N18" s="188"/>
    </row>
    <row r="19" spans="3:16" x14ac:dyDescent="0.3">
      <c r="C19" s="46"/>
      <c r="D19" s="141"/>
      <c r="E19" s="184"/>
      <c r="F19" s="184"/>
      <c r="G19" s="141"/>
      <c r="H19" s="141"/>
      <c r="I19" s="141"/>
      <c r="J19" s="141"/>
      <c r="K19" s="184"/>
      <c r="L19" s="184"/>
      <c r="M19" s="188"/>
      <c r="N19" s="188"/>
    </row>
    <row r="20" spans="3:16" x14ac:dyDescent="0.3">
      <c r="C20" s="336" t="s">
        <v>187</v>
      </c>
      <c r="D20" s="336"/>
      <c r="E20" s="336"/>
      <c r="F20" s="336"/>
      <c r="G20" s="337">
        <f>SUM(AH70:AH110)</f>
        <v>0</v>
      </c>
      <c r="H20" s="337" t="s">
        <v>161</v>
      </c>
      <c r="I20" s="41" t="s">
        <v>159</v>
      </c>
      <c r="J20" s="41"/>
      <c r="K20" s="184"/>
      <c r="L20" s="339"/>
      <c r="M20" s="188"/>
      <c r="N20" s="188"/>
      <c r="P20" s="144"/>
    </row>
    <row r="21" spans="3:16" x14ac:dyDescent="0.3">
      <c r="F21" s="336"/>
      <c r="G21" s="337"/>
      <c r="H21" s="338"/>
      <c r="I21" s="41"/>
      <c r="J21" s="41"/>
      <c r="K21" s="184"/>
      <c r="L21" s="184"/>
      <c r="M21" s="188"/>
      <c r="N21" s="188"/>
      <c r="O21" s="144"/>
    </row>
    <row r="22" spans="3:16" x14ac:dyDescent="0.3">
      <c r="C22" s="336"/>
      <c r="D22" s="336"/>
      <c r="E22" s="336"/>
      <c r="F22" s="336"/>
      <c r="G22" s="337"/>
      <c r="H22" s="338"/>
      <c r="I22" s="141"/>
      <c r="J22" s="141"/>
      <c r="K22" s="184"/>
      <c r="L22" s="184"/>
      <c r="M22" s="188"/>
      <c r="N22" s="188"/>
    </row>
    <row r="23" spans="3:16" x14ac:dyDescent="0.3">
      <c r="C23" s="336"/>
      <c r="D23" s="336"/>
      <c r="E23" s="336"/>
      <c r="F23" s="336"/>
      <c r="G23" s="337"/>
      <c r="H23" s="338"/>
      <c r="I23" s="141"/>
      <c r="J23" s="141"/>
      <c r="K23" s="184"/>
      <c r="L23" s="184"/>
      <c r="M23" s="188"/>
      <c r="N23" s="188"/>
    </row>
    <row r="24" spans="3:16" x14ac:dyDescent="0.3">
      <c r="C24" s="336"/>
      <c r="D24" s="336"/>
      <c r="E24" s="336"/>
      <c r="F24" s="336"/>
      <c r="G24" s="337"/>
      <c r="H24" s="338"/>
      <c r="I24" s="141"/>
      <c r="J24" s="141"/>
      <c r="K24" s="184"/>
      <c r="L24" s="184"/>
      <c r="M24" s="188"/>
      <c r="N24" s="188"/>
    </row>
    <row r="25" spans="3:16" x14ac:dyDescent="0.3">
      <c r="C25" s="336"/>
      <c r="D25" s="336"/>
      <c r="E25" s="336"/>
      <c r="F25" s="336"/>
      <c r="G25" s="337"/>
      <c r="H25" s="338"/>
      <c r="I25" s="141"/>
      <c r="J25" s="141"/>
      <c r="K25" s="184"/>
      <c r="L25" s="184"/>
      <c r="M25" s="188"/>
      <c r="N25" s="188"/>
    </row>
    <row r="26" spans="3:16" x14ac:dyDescent="0.3">
      <c r="C26" s="336"/>
      <c r="D26" s="336"/>
      <c r="E26" s="336"/>
      <c r="F26" s="336"/>
      <c r="G26" s="337"/>
      <c r="H26" s="338"/>
      <c r="I26" s="141"/>
      <c r="J26" s="141"/>
      <c r="K26" s="184"/>
      <c r="L26" s="184"/>
      <c r="M26" s="188"/>
      <c r="N26" s="188"/>
    </row>
    <row r="27" spans="3:16" x14ac:dyDescent="0.3">
      <c r="C27" s="336"/>
      <c r="D27" s="336"/>
      <c r="E27" s="336"/>
      <c r="F27" s="336"/>
      <c r="G27" s="337"/>
      <c r="H27" s="338"/>
      <c r="I27" s="141"/>
      <c r="J27" s="141"/>
      <c r="K27" s="184"/>
      <c r="L27" s="184"/>
      <c r="M27" s="188"/>
      <c r="N27" s="188"/>
    </row>
    <row r="28" spans="3:16" x14ac:dyDescent="0.3">
      <c r="C28" s="336"/>
      <c r="D28" s="336"/>
      <c r="E28" s="336"/>
      <c r="F28" s="336"/>
      <c r="G28" s="337"/>
      <c r="H28" s="338"/>
      <c r="I28" s="141"/>
      <c r="J28" s="141"/>
      <c r="K28" s="184"/>
      <c r="L28" s="184"/>
      <c r="M28" s="188"/>
      <c r="N28" s="188"/>
    </row>
    <row r="29" spans="3:16" x14ac:dyDescent="0.3">
      <c r="C29" s="336"/>
      <c r="D29" s="336"/>
      <c r="E29" s="336"/>
      <c r="F29" s="336"/>
      <c r="G29" s="337"/>
      <c r="H29" s="338"/>
      <c r="I29" s="141"/>
      <c r="J29" s="141"/>
      <c r="K29" s="184"/>
      <c r="L29" s="184"/>
      <c r="M29" s="188"/>
      <c r="N29" s="188"/>
    </row>
    <row r="30" spans="3:16" x14ac:dyDescent="0.3">
      <c r="C30" s="336"/>
      <c r="D30" s="336"/>
      <c r="E30" s="336"/>
      <c r="F30" s="336"/>
      <c r="G30" s="337"/>
      <c r="H30" s="338"/>
      <c r="I30" s="141"/>
      <c r="J30" s="141"/>
      <c r="K30" s="184"/>
      <c r="L30" s="184"/>
      <c r="M30" s="188"/>
      <c r="N30" s="188"/>
    </row>
    <row r="31" spans="3:16" x14ac:dyDescent="0.3">
      <c r="C31" s="336"/>
      <c r="D31" s="336"/>
      <c r="E31" s="336"/>
      <c r="F31" s="336"/>
      <c r="G31" s="337"/>
      <c r="H31" s="338"/>
      <c r="I31" s="141"/>
      <c r="J31" s="141"/>
      <c r="K31" s="184"/>
      <c r="L31" s="184"/>
      <c r="M31" s="188"/>
      <c r="N31" s="188"/>
    </row>
    <row r="32" spans="3:16" x14ac:dyDescent="0.3">
      <c r="C32" s="336"/>
      <c r="D32" s="336"/>
      <c r="E32" s="336"/>
      <c r="F32" s="336"/>
      <c r="G32" s="337"/>
      <c r="H32" s="338"/>
      <c r="I32" s="141"/>
      <c r="J32" s="141"/>
      <c r="K32" s="184"/>
      <c r="L32" s="184"/>
      <c r="M32" s="188"/>
      <c r="N32" s="188"/>
    </row>
    <row r="33" spans="3:14" x14ac:dyDescent="0.3">
      <c r="C33" s="336"/>
      <c r="D33" s="336"/>
      <c r="E33" s="336"/>
      <c r="F33" s="336"/>
      <c r="G33" s="337"/>
      <c r="H33" s="338"/>
      <c r="I33" s="141"/>
      <c r="J33" s="141"/>
      <c r="K33" s="184"/>
      <c r="L33" s="184"/>
      <c r="M33" s="188"/>
      <c r="N33" s="188"/>
    </row>
    <row r="34" spans="3:14" x14ac:dyDescent="0.3">
      <c r="C34" s="336"/>
      <c r="D34" s="336"/>
      <c r="E34" s="336"/>
      <c r="F34" s="336"/>
      <c r="G34" s="337"/>
      <c r="H34" s="338"/>
      <c r="I34" s="141"/>
      <c r="J34" s="141"/>
      <c r="K34" s="184"/>
      <c r="L34" s="184"/>
      <c r="M34" s="188"/>
      <c r="N34" s="188"/>
    </row>
    <row r="35" spans="3:14" x14ac:dyDescent="0.3">
      <c r="C35" s="336"/>
      <c r="D35" s="336"/>
      <c r="E35" s="336"/>
      <c r="F35" s="336"/>
      <c r="G35" s="337"/>
      <c r="H35" s="338"/>
      <c r="I35" s="141"/>
      <c r="J35" s="141"/>
      <c r="K35" s="184"/>
      <c r="L35" s="184"/>
      <c r="M35" s="188"/>
      <c r="N35" s="188"/>
    </row>
    <row r="36" spans="3:14" x14ac:dyDescent="0.3">
      <c r="C36" s="336"/>
      <c r="D36" s="336"/>
      <c r="E36" s="336"/>
      <c r="F36" s="336"/>
      <c r="G36" s="337"/>
      <c r="H36" s="338"/>
      <c r="I36" s="141"/>
      <c r="J36" s="141"/>
      <c r="K36" s="184"/>
      <c r="L36" s="340"/>
      <c r="M36" s="188"/>
      <c r="N36" s="188"/>
    </row>
    <row r="37" spans="3:14" x14ac:dyDescent="0.3">
      <c r="C37" s="336"/>
      <c r="D37" s="336"/>
      <c r="E37" s="336"/>
      <c r="F37" s="336"/>
      <c r="G37" s="337"/>
      <c r="H37" s="338"/>
      <c r="I37" s="141"/>
      <c r="J37" s="141"/>
      <c r="K37" s="184"/>
      <c r="L37" s="340"/>
      <c r="M37" s="188"/>
      <c r="N37" s="188"/>
    </row>
    <row r="38" spans="3:14" x14ac:dyDescent="0.3">
      <c r="C38" s="336"/>
      <c r="D38" s="336"/>
      <c r="E38" s="336"/>
      <c r="F38" s="336"/>
      <c r="G38" s="337"/>
      <c r="H38" s="338"/>
      <c r="I38" s="141"/>
      <c r="J38" s="141"/>
      <c r="K38" s="184"/>
      <c r="L38" s="184"/>
      <c r="M38" s="188"/>
      <c r="N38" s="188"/>
    </row>
    <row r="39" spans="3:14" x14ac:dyDescent="0.3">
      <c r="C39" s="336"/>
      <c r="D39" s="336"/>
      <c r="E39" s="336"/>
      <c r="F39" s="336"/>
      <c r="G39" s="337"/>
      <c r="H39" s="338"/>
      <c r="I39" s="141"/>
      <c r="J39" s="141"/>
      <c r="K39" s="184"/>
      <c r="L39" s="184"/>
      <c r="M39" s="188"/>
      <c r="N39" s="188"/>
    </row>
    <row r="40" spans="3:14" x14ac:dyDescent="0.3">
      <c r="C40" s="336"/>
      <c r="D40" s="336"/>
      <c r="E40" s="336"/>
      <c r="F40" s="336"/>
      <c r="G40" s="337"/>
      <c r="H40" s="338"/>
      <c r="I40" s="141"/>
      <c r="J40" s="141"/>
      <c r="K40" s="184"/>
      <c r="L40" s="184"/>
      <c r="M40" s="188"/>
      <c r="N40" s="188"/>
    </row>
    <row r="41" spans="3:14" ht="15" customHeight="1" x14ac:dyDescent="0.3">
      <c r="C41" s="489" t="s">
        <v>190</v>
      </c>
      <c r="D41" s="489"/>
      <c r="E41" s="489"/>
      <c r="F41" s="489"/>
      <c r="G41" s="489"/>
      <c r="H41" s="489"/>
      <c r="I41" s="141"/>
      <c r="J41" s="489" t="s">
        <v>231</v>
      </c>
      <c r="K41" s="489"/>
      <c r="L41" s="489"/>
      <c r="M41" s="489"/>
      <c r="N41" s="489"/>
    </row>
    <row r="42" spans="3:14" ht="15" customHeight="1" x14ac:dyDescent="0.3">
      <c r="C42" s="489"/>
      <c r="D42" s="489"/>
      <c r="E42" s="489"/>
      <c r="F42" s="489"/>
      <c r="G42" s="489"/>
      <c r="H42" s="489"/>
      <c r="I42" s="141"/>
      <c r="J42" s="489"/>
      <c r="K42" s="489"/>
      <c r="L42" s="489"/>
      <c r="M42" s="489"/>
      <c r="N42" s="489"/>
    </row>
    <row r="43" spans="3:14" ht="15" customHeight="1" x14ac:dyDescent="0.3">
      <c r="C43" s="489"/>
      <c r="D43" s="489"/>
      <c r="E43" s="489"/>
      <c r="F43" s="489"/>
      <c r="G43" s="489"/>
      <c r="H43" s="489"/>
      <c r="I43" s="141"/>
      <c r="J43" s="489"/>
      <c r="K43" s="489"/>
      <c r="L43" s="489"/>
      <c r="M43" s="489"/>
      <c r="N43" s="489"/>
    </row>
    <row r="44" spans="3:14" ht="15" customHeight="1" x14ac:dyDescent="0.3">
      <c r="C44" s="489"/>
      <c r="D44" s="489"/>
      <c r="E44" s="489"/>
      <c r="F44" s="489"/>
      <c r="G44" s="489"/>
      <c r="H44" s="489"/>
      <c r="I44" s="141"/>
      <c r="J44" s="141"/>
      <c r="K44" s="184"/>
      <c r="L44" s="184"/>
      <c r="M44" s="188"/>
      <c r="N44" s="188"/>
    </row>
    <row r="45" spans="3:14" x14ac:dyDescent="0.3">
      <c r="C45" s="336"/>
      <c r="D45" s="336"/>
      <c r="E45" s="336"/>
      <c r="F45" s="336"/>
      <c r="G45" s="337"/>
      <c r="H45" s="338"/>
      <c r="I45" s="141"/>
      <c r="J45" s="141"/>
      <c r="K45" s="184"/>
      <c r="L45" s="184"/>
      <c r="M45" s="188"/>
      <c r="N45" s="188"/>
    </row>
    <row r="46" spans="3:14" x14ac:dyDescent="0.3">
      <c r="C46" s="336"/>
      <c r="D46" s="336"/>
      <c r="E46" s="336"/>
      <c r="F46" s="336"/>
      <c r="G46" s="337"/>
      <c r="H46" s="338"/>
      <c r="I46" s="141"/>
      <c r="J46" s="141"/>
      <c r="K46" s="184"/>
      <c r="L46" s="184"/>
      <c r="M46" s="188"/>
      <c r="N46" s="188"/>
    </row>
    <row r="47" spans="3:14" x14ac:dyDescent="0.3">
      <c r="C47" s="336"/>
      <c r="D47" s="336"/>
      <c r="E47" s="336"/>
      <c r="F47" s="336"/>
      <c r="G47" s="337"/>
      <c r="H47" s="338"/>
      <c r="I47" s="141"/>
      <c r="J47" s="141"/>
      <c r="K47" s="184"/>
      <c r="L47" s="184"/>
      <c r="M47" s="188"/>
      <c r="N47" s="188"/>
    </row>
    <row r="48" spans="3:14" x14ac:dyDescent="0.3">
      <c r="C48" s="336"/>
      <c r="D48" s="336"/>
      <c r="E48" s="336"/>
      <c r="F48" s="336"/>
      <c r="G48" s="337"/>
      <c r="H48" s="338"/>
      <c r="I48" s="141"/>
      <c r="J48" s="141"/>
      <c r="K48" s="184"/>
      <c r="L48" s="184"/>
      <c r="M48" s="188"/>
      <c r="N48" s="188"/>
    </row>
    <row r="49" spans="3:14" x14ac:dyDescent="0.3">
      <c r="C49" s="336"/>
      <c r="D49" s="336"/>
      <c r="E49" s="336"/>
      <c r="F49" s="336"/>
      <c r="G49" s="337"/>
      <c r="H49" s="338"/>
      <c r="I49" s="141"/>
      <c r="J49" s="141"/>
      <c r="K49" s="184"/>
      <c r="L49" s="184"/>
      <c r="M49" s="188"/>
      <c r="N49" s="188"/>
    </row>
    <row r="50" spans="3:14" x14ac:dyDescent="0.3">
      <c r="C50" s="336"/>
      <c r="D50" s="336"/>
      <c r="E50" s="336"/>
      <c r="F50" s="336"/>
      <c r="G50" s="337"/>
      <c r="H50" s="338"/>
      <c r="I50" s="141"/>
      <c r="J50" s="141"/>
      <c r="K50" s="184"/>
      <c r="L50" s="184"/>
      <c r="M50" s="188"/>
      <c r="N50" s="188"/>
    </row>
    <row r="51" spans="3:14" x14ac:dyDescent="0.3">
      <c r="C51" s="336"/>
      <c r="D51" s="336"/>
      <c r="E51" s="336"/>
      <c r="F51" s="336"/>
      <c r="G51" s="337"/>
      <c r="H51" s="338"/>
      <c r="I51" s="141"/>
      <c r="J51" s="141"/>
      <c r="K51" s="184"/>
      <c r="L51" s="184"/>
      <c r="M51" s="188"/>
      <c r="N51" s="188"/>
    </row>
    <row r="52" spans="3:14" x14ac:dyDescent="0.3">
      <c r="C52" s="336"/>
      <c r="D52" s="336"/>
      <c r="E52" s="336"/>
      <c r="F52" s="336"/>
      <c r="G52" s="337"/>
      <c r="H52" s="338"/>
      <c r="I52" s="141"/>
      <c r="J52" s="141"/>
      <c r="K52" s="184"/>
      <c r="L52" s="184"/>
      <c r="M52" s="188"/>
      <c r="N52" s="188"/>
    </row>
    <row r="53" spans="3:14" x14ac:dyDescent="0.3">
      <c r="C53" s="336"/>
      <c r="D53" s="336"/>
      <c r="E53" s="336"/>
      <c r="F53" s="336"/>
      <c r="G53" s="337"/>
      <c r="H53" s="338"/>
      <c r="I53" s="141"/>
      <c r="J53" s="141"/>
      <c r="K53" s="184"/>
      <c r="L53" s="184"/>
      <c r="M53" s="188"/>
      <c r="N53" s="188"/>
    </row>
    <row r="54" spans="3:14" x14ac:dyDescent="0.3">
      <c r="C54" s="336"/>
      <c r="D54" s="336"/>
      <c r="E54" s="336"/>
      <c r="F54" s="336"/>
      <c r="G54" s="337"/>
      <c r="H54" s="338"/>
      <c r="I54" s="141"/>
      <c r="J54" s="141"/>
      <c r="K54" s="184"/>
      <c r="L54" s="184"/>
      <c r="M54" s="188"/>
      <c r="N54" s="188"/>
    </row>
    <row r="55" spans="3:14" x14ac:dyDescent="0.3">
      <c r="C55" s="336"/>
      <c r="D55" s="336"/>
      <c r="E55" s="336"/>
      <c r="F55" s="336"/>
      <c r="G55" s="337"/>
      <c r="H55" s="338"/>
      <c r="I55" s="141"/>
      <c r="J55" s="141"/>
      <c r="K55" s="184"/>
      <c r="L55" s="184"/>
      <c r="M55" s="188"/>
      <c r="N55" s="188"/>
    </row>
    <row r="56" spans="3:14" x14ac:dyDescent="0.3">
      <c r="C56" s="336"/>
      <c r="D56" s="336"/>
      <c r="E56" s="336"/>
      <c r="F56" s="336"/>
      <c r="G56" s="337"/>
      <c r="H56" s="338"/>
      <c r="I56" s="141"/>
      <c r="J56" s="141"/>
      <c r="K56" s="184"/>
      <c r="L56" s="184"/>
      <c r="M56" s="188"/>
      <c r="N56" s="188"/>
    </row>
    <row r="57" spans="3:14" x14ac:dyDescent="0.3">
      <c r="C57" s="336"/>
      <c r="D57" s="336"/>
      <c r="E57" s="336"/>
      <c r="F57" s="336"/>
      <c r="G57" s="337"/>
      <c r="H57" s="338"/>
      <c r="I57" s="141"/>
      <c r="J57" s="141"/>
      <c r="K57" s="184"/>
      <c r="L57" s="184"/>
      <c r="M57" s="188"/>
      <c r="N57" s="188"/>
    </row>
    <row r="58" spans="3:14" x14ac:dyDescent="0.3">
      <c r="C58" s="336"/>
      <c r="D58" s="336"/>
      <c r="E58" s="336"/>
      <c r="F58" s="336"/>
      <c r="G58" s="337"/>
      <c r="H58" s="338"/>
      <c r="I58" s="141"/>
      <c r="J58" s="141"/>
      <c r="K58" s="184"/>
      <c r="L58" s="184"/>
      <c r="M58" s="188"/>
      <c r="N58" s="188"/>
    </row>
    <row r="59" spans="3:14" x14ac:dyDescent="0.3">
      <c r="C59" s="336"/>
      <c r="D59" s="336"/>
      <c r="E59" s="336"/>
      <c r="F59" s="336"/>
      <c r="G59" s="337"/>
      <c r="H59" s="338"/>
      <c r="I59" s="141"/>
      <c r="J59" s="141"/>
      <c r="K59" s="184"/>
      <c r="L59" s="184"/>
      <c r="M59" s="188"/>
      <c r="N59" s="188"/>
    </row>
    <row r="60" spans="3:14" x14ac:dyDescent="0.3">
      <c r="C60" s="336"/>
      <c r="D60" s="336"/>
      <c r="E60" s="336"/>
      <c r="F60" s="336"/>
      <c r="G60" s="337"/>
      <c r="H60" s="338"/>
      <c r="I60" s="141"/>
      <c r="J60" s="141"/>
      <c r="K60" s="184"/>
      <c r="L60" s="184"/>
      <c r="M60" s="188"/>
      <c r="N60" s="188"/>
    </row>
    <row r="61" spans="3:14" x14ac:dyDescent="0.3">
      <c r="C61" s="336"/>
      <c r="D61" s="336"/>
      <c r="E61" s="336"/>
      <c r="F61" s="336"/>
      <c r="G61" s="337"/>
      <c r="H61" s="338"/>
      <c r="I61" s="141"/>
      <c r="J61" s="141"/>
      <c r="K61" s="184"/>
      <c r="L61" s="184"/>
      <c r="M61" s="188"/>
      <c r="N61" s="188"/>
    </row>
    <row r="62" spans="3:14" x14ac:dyDescent="0.3">
      <c r="C62" s="336"/>
      <c r="D62" s="336"/>
      <c r="E62" s="336"/>
      <c r="F62" s="336"/>
      <c r="G62" s="337"/>
      <c r="H62" s="338"/>
      <c r="I62" s="141"/>
      <c r="J62" s="141"/>
      <c r="K62" s="184"/>
      <c r="L62" s="184"/>
      <c r="M62" s="188"/>
      <c r="N62" s="188"/>
    </row>
    <row r="63" spans="3:14" x14ac:dyDescent="0.3">
      <c r="C63" s="336"/>
      <c r="D63" s="336"/>
      <c r="E63" s="336"/>
      <c r="F63" s="336"/>
      <c r="G63" s="337"/>
      <c r="H63" s="338"/>
      <c r="I63" s="141"/>
      <c r="J63" s="141"/>
      <c r="K63" s="184"/>
      <c r="L63" s="184"/>
      <c r="M63" s="188"/>
      <c r="N63" s="188"/>
    </row>
    <row r="64" spans="3:14" ht="15" customHeight="1" x14ac:dyDescent="0.3">
      <c r="C64" s="489" t="s">
        <v>191</v>
      </c>
      <c r="D64" s="489"/>
      <c r="E64" s="489"/>
      <c r="F64" s="489"/>
      <c r="G64" s="489"/>
      <c r="H64" s="489"/>
      <c r="I64" s="141"/>
      <c r="J64" s="489" t="s">
        <v>232</v>
      </c>
      <c r="K64" s="489"/>
      <c r="L64" s="489"/>
      <c r="M64" s="489"/>
      <c r="N64" s="489"/>
    </row>
    <row r="65" spans="1:43" ht="15" customHeight="1" x14ac:dyDescent="0.3">
      <c r="C65" s="489"/>
      <c r="D65" s="489"/>
      <c r="E65" s="489"/>
      <c r="F65" s="489"/>
      <c r="G65" s="489"/>
      <c r="H65" s="489"/>
      <c r="I65" s="141"/>
      <c r="J65" s="489"/>
      <c r="K65" s="489"/>
      <c r="L65" s="489"/>
      <c r="M65" s="489"/>
      <c r="N65" s="489"/>
    </row>
    <row r="66" spans="1:43" ht="15" customHeight="1" x14ac:dyDescent="0.3">
      <c r="C66" s="489"/>
      <c r="D66" s="489"/>
      <c r="E66" s="489"/>
      <c r="F66" s="489"/>
      <c r="G66" s="489"/>
      <c r="H66" s="489"/>
      <c r="I66" s="141"/>
      <c r="J66" s="489"/>
      <c r="K66" s="489"/>
      <c r="L66" s="489"/>
      <c r="M66" s="489"/>
      <c r="N66" s="489"/>
    </row>
    <row r="67" spans="1:43" s="341" customFormat="1" x14ac:dyDescent="0.3">
      <c r="C67" s="489"/>
      <c r="D67" s="489"/>
      <c r="E67" s="489"/>
      <c r="F67" s="489"/>
      <c r="G67" s="489"/>
      <c r="H67" s="489"/>
      <c r="J67" s="489"/>
      <c r="K67" s="489"/>
      <c r="L67" s="489"/>
      <c r="M67" s="489"/>
      <c r="N67" s="489"/>
      <c r="X67" s="342"/>
      <c r="AG67" s="342"/>
      <c r="AH67" s="342"/>
      <c r="AI67" s="342"/>
      <c r="AJ67" s="342"/>
    </row>
    <row r="68" spans="1:43" s="341" customFormat="1" ht="15" customHeight="1" x14ac:dyDescent="0.3">
      <c r="C68" s="488" t="s">
        <v>110</v>
      </c>
      <c r="D68" s="488"/>
      <c r="E68" s="488"/>
      <c r="F68" s="488"/>
      <c r="G68" s="488"/>
      <c r="H68" s="488"/>
      <c r="I68" s="488"/>
      <c r="J68" s="488"/>
      <c r="K68" s="488"/>
      <c r="L68" s="488"/>
      <c r="M68" s="488"/>
      <c r="N68" s="488"/>
      <c r="O68" s="488"/>
      <c r="X68" s="342"/>
      <c r="AE68" s="342" t="s">
        <v>36</v>
      </c>
      <c r="AG68" s="342"/>
      <c r="AH68" s="342"/>
      <c r="AI68" s="342"/>
      <c r="AJ68" s="342" t="s">
        <v>39</v>
      </c>
    </row>
    <row r="69" spans="1:43" s="341" customFormat="1" ht="40.799999999999997" x14ac:dyDescent="0.3">
      <c r="C69" s="343" t="s">
        <v>2</v>
      </c>
      <c r="D69" s="343" t="s">
        <v>3</v>
      </c>
      <c r="E69" s="343" t="s">
        <v>4</v>
      </c>
      <c r="F69" s="343" t="s">
        <v>43</v>
      </c>
      <c r="G69" s="343" t="s">
        <v>5</v>
      </c>
      <c r="H69" s="343" t="s">
        <v>6</v>
      </c>
      <c r="I69" s="343" t="s">
        <v>192</v>
      </c>
      <c r="J69" s="343" t="s">
        <v>40</v>
      </c>
      <c r="K69" s="343" t="s">
        <v>28</v>
      </c>
      <c r="L69" s="343" t="s">
        <v>29</v>
      </c>
      <c r="M69" s="343" t="s">
        <v>1</v>
      </c>
      <c r="N69" s="343" t="s">
        <v>193</v>
      </c>
      <c r="O69" s="343" t="s">
        <v>194</v>
      </c>
      <c r="Q69" s="344" t="s">
        <v>44</v>
      </c>
      <c r="R69" s="343" t="s">
        <v>48</v>
      </c>
      <c r="S69" s="344" t="s">
        <v>45</v>
      </c>
      <c r="T69" s="344" t="s">
        <v>49</v>
      </c>
      <c r="U69" s="344" t="s">
        <v>46</v>
      </c>
      <c r="V69" s="344" t="s">
        <v>50</v>
      </c>
      <c r="W69" s="344" t="s">
        <v>47</v>
      </c>
      <c r="X69" s="344" t="s">
        <v>51</v>
      </c>
      <c r="Y69" s="343" t="s">
        <v>41</v>
      </c>
      <c r="AE69" s="90" t="s">
        <v>174</v>
      </c>
      <c r="AF69" s="90" t="s">
        <v>37</v>
      </c>
      <c r="AG69" s="90" t="s">
        <v>175</v>
      </c>
      <c r="AH69" s="90" t="s">
        <v>38</v>
      </c>
      <c r="AI69" s="90"/>
      <c r="AJ69" s="90"/>
      <c r="AK69" s="89"/>
      <c r="AL69" s="89"/>
      <c r="AM69" s="89"/>
      <c r="AN69" s="89"/>
      <c r="AO69" s="90" t="s">
        <v>176</v>
      </c>
      <c r="AP69" s="90" t="s">
        <v>177</v>
      </c>
      <c r="AQ69" s="90" t="s">
        <v>178</v>
      </c>
    </row>
    <row r="70" spans="1:43" s="341" customFormat="1" x14ac:dyDescent="0.3">
      <c r="A70" s="345">
        <v>0</v>
      </c>
      <c r="C70" s="346">
        <f>IF(A70&lt;='Eingabeblatt 1'!D18,2018,"")</f>
        <v>2018</v>
      </c>
      <c r="D70" s="345">
        <f>IF(A70&lt;='Eingabeblatt 1'!$D$18,0,"")</f>
        <v>0</v>
      </c>
      <c r="E70" s="347">
        <f>IF(A52&lt;='Eingabeblatt 1'!$D$18,IF(D52='Eingabeblatt 1'!D65,-'Eingabeblatt 1'!L65-'Eingabeblatt 2'!O39,-'Eingabeblatt 1'!F64),"")</f>
        <v>-30436100.955750003</v>
      </c>
      <c r="F70" s="347"/>
      <c r="G70" s="347"/>
      <c r="H70" s="347"/>
      <c r="I70" s="347"/>
      <c r="J70" s="347"/>
      <c r="K70" s="348"/>
      <c r="L70" s="348"/>
      <c r="M70" s="349">
        <f>IF(A70&lt;='Eingabeblatt 1'!$D$18,SUM(G70:L70)+E70,"")</f>
        <v>-30436100.955750003</v>
      </c>
      <c r="N70" s="350">
        <f>IF(A70&lt;='Eingabeblatt 1'!$D$18,(E70+G70+H70+I70+J70+K70+L70)/(1+'Eingabeblatt 1'!$D$19)^D70,"")</f>
        <v>-30436100.955750003</v>
      </c>
      <c r="O70" s="350">
        <f>IF(A70&lt;='Eingabeblatt 1'!$D$18,N70,"")</f>
        <v>-30436100.955750003</v>
      </c>
      <c r="Q70" s="351">
        <f>SUMIFS('Eingabeblatt 2'!O14:O36,'Eingabeblatt 2'!E14:E36,40)</f>
        <v>2642860</v>
      </c>
      <c r="S70" s="347">
        <f>SUMIFS('Eingabeblatt 2'!O14:O36,'Eingabeblatt 2'!E14:E36,30)</f>
        <v>0</v>
      </c>
      <c r="U70" s="351">
        <f>SUMIFS('Eingabeblatt 2'!O14:O36,'Eingabeblatt 2'!E14:E36,20)</f>
        <v>10643897.25</v>
      </c>
      <c r="W70" s="351">
        <f>SUMIFS('Eingabeblatt 2'!O14:O36,'Eingabeblatt 2'!E14:E36,10)</f>
        <v>4724901.5</v>
      </c>
      <c r="X70" s="342"/>
      <c r="Y70" s="347"/>
      <c r="AD70" s="342">
        <v>0</v>
      </c>
      <c r="AE70" s="352">
        <f>O70</f>
        <v>-30436100.955750003</v>
      </c>
      <c r="AF70" s="352">
        <f t="shared" ref="AF70:AF110" si="0">O116</f>
        <v>-30652634.039999999</v>
      </c>
      <c r="AG70" s="352">
        <f>IFERROR(AF70-AE70,0)</f>
        <v>-216533.08424999565</v>
      </c>
      <c r="AH70" s="353">
        <f t="shared" ref="AH70:AH110" si="1">IF(AND(AG70&gt;0,AG71&lt;=0),C70-$C$70+(AG70/(AG70-AG71)),0)</f>
        <v>0</v>
      </c>
      <c r="AI70" s="342"/>
      <c r="AJ70" s="342"/>
      <c r="AK70" s="342">
        <f>IF(AE70&gt;0,AD70,0)</f>
        <v>0</v>
      </c>
      <c r="AL70" s="342">
        <f>IF(AF70&gt;0,AD70,0)</f>
        <v>0</v>
      </c>
      <c r="AO70" s="351">
        <f>SUM(F70:L70)</f>
        <v>0</v>
      </c>
      <c r="AP70" s="351">
        <f t="shared" ref="AP70:AP110" si="2">SUM(F116:L116)</f>
        <v>0</v>
      </c>
      <c r="AQ70" s="351">
        <f>(-AO70)-(-AP70)</f>
        <v>0</v>
      </c>
    </row>
    <row r="71" spans="1:43" s="341" customFormat="1" x14ac:dyDescent="0.3">
      <c r="A71" s="345">
        <v>1</v>
      </c>
      <c r="C71" s="346">
        <f>IF(A71&lt;='Eingabeblatt 1'!$D$18,C70+1,"")</f>
        <v>2019</v>
      </c>
      <c r="D71" s="345">
        <f>IF(A71&lt;='Eingabeblatt 1'!$D$18,D70+1,"")</f>
        <v>1</v>
      </c>
      <c r="E71" s="354">
        <f>IF(A71&lt;='Eingabeblatt 1'!$D$18,IF(D71='Eingabeblatt 1'!$D$65,-'Eingabeblatt 1'!$L$65*(1+'Eingabeblatt 1'!$J$65)^D71,IF(D71='Eingabeblatt 1'!$D$66,-'Eingabeblatt 1'!$L$66*(1+'Eingabeblatt 1'!$J$66)^D71,IF(D71='Eingabeblatt 1'!$D$67,-'Eingabeblatt 1'!$L$67*(1+'Eingabeblatt 1'!$J$67)^D71,0))),"")</f>
        <v>0</v>
      </c>
      <c r="F71" s="354">
        <f>-Y71</f>
        <v>-1409574.5572500001</v>
      </c>
      <c r="G71" s="347">
        <f>IF(A71&lt;='Eingabeblatt 1'!$D$18,IF(D71='Eingabeblatt 1'!$D$72,-('Eingabeblatt 1'!$L$71+'Eingabeblatt 1'!$L$72)*(1+'Eingabeblatt 1'!$J$71)^'Zusammenfassung Ergebnis'!D71,-('Eingabeblatt 1'!$L$71)*(1+'Eingabeblatt 1'!$J$71)^'Zusammenfassung Ergebnis'!D71),"")</f>
        <v>-428400</v>
      </c>
      <c r="H71" s="347">
        <f>IF(A71&lt;='Eingabeblatt 1'!$D$18,-'Eingabeblatt 1'!L73,"")</f>
        <v>-315000</v>
      </c>
      <c r="I71" s="347">
        <f>IF(A71&lt;='Eingabeblatt 1'!$D$18,(-'Eingabeblatt 1'!L75*(1+'Eingabeblatt 1'!J75)^'Zusammenfassung Ergebnis'!D71)-('Eingabeblatt 1'!L76*(1+'Eingabeblatt 1'!J76)^'Zusammenfassung Ergebnis'!D71)-('Eingabeblatt 1'!L77*(1+'Eingabeblatt 1'!J77)^'Zusammenfassung Ergebnis'!D71),"")</f>
        <v>-174824.45259999999</v>
      </c>
      <c r="J71" s="347">
        <f>IF(A71&lt;='Eingabeblatt 1'!$D$18,'Eingabeblatt 1'!D80+'Eingabeblatt 1'!D81,"")</f>
        <v>5000</v>
      </c>
      <c r="K71" s="348">
        <f>IF(A71&lt;='Eingabeblatt 1'!$D$18,'Eingabeblatt 1'!L15,"")</f>
        <v>120000</v>
      </c>
      <c r="L71" s="348">
        <f>IF(D71&lt;='Eingabeblatt 1'!$D$18,(SUMIFS('Eingabeblatt 2'!$K$14:$K$53,'Eingabeblatt 2'!$Q$14:$Q$53,'Zusammenfassung Ergebnis'!D71))*(1+'Eingabeblatt 1'!$J$65)^'Zusammenfassung Ergebnis'!D71,"")</f>
        <v>0</v>
      </c>
      <c r="M71" s="349">
        <f>IF(A71&lt;='Eingabeblatt 1'!$D$18,SUM(G71:L71)+E71,"")</f>
        <v>-793224.45259999996</v>
      </c>
      <c r="N71" s="350">
        <f>IF(A71&lt;='Eingabeblatt 1'!$D$18,(E71+G71+H71+I71+J71+K71+L71)/(1+'Eingabeblatt 1'!$D$19)^D71,"")</f>
        <v>-762715.8198076922</v>
      </c>
      <c r="O71" s="350">
        <f>IF(A71&lt;='Eingabeblatt 1'!$D$18,O70+N71,"")</f>
        <v>-31198816.775557697</v>
      </c>
      <c r="R71" s="351">
        <f>(((40-D71)/40*$Q$70))*('Eingabeblatt 1'!$D$20)+$Q$70/40</f>
        <v>117607.27</v>
      </c>
      <c r="S71" s="351"/>
      <c r="T71" s="351">
        <f>(((30-D71)/30*$S$70))*('Eingabeblatt 1'!$D$20)+$S$70/30</f>
        <v>0</v>
      </c>
      <c r="U71" s="351"/>
      <c r="V71" s="351">
        <f>(((20-D71)/20*$U$70))*('Eingabeblatt 1'!$D$20)+$U$70/20</f>
        <v>734428.91025000007</v>
      </c>
      <c r="W71" s="351"/>
      <c r="X71" s="351">
        <f>(((10-D71)/10*$W$70))*('Eingabeblatt 1'!$D$20)+$W$70/10</f>
        <v>557538.37700000009</v>
      </c>
      <c r="Y71" s="354">
        <f>R71+T71+V71+X71</f>
        <v>1409574.5572500001</v>
      </c>
      <c r="AD71" s="342">
        <v>1</v>
      </c>
      <c r="AE71" s="352">
        <f t="shared" ref="AE71:AE110" si="3">O71</f>
        <v>-31198816.775557697</v>
      </c>
      <c r="AF71" s="352">
        <f t="shared" si="0"/>
        <v>-31554043.557884615</v>
      </c>
      <c r="AG71" s="352">
        <f t="shared" ref="AG71:AG110" si="4">IFERROR(AF71-AE71,0)</f>
        <v>-355226.7823269181</v>
      </c>
      <c r="AH71" s="353">
        <f t="shared" si="1"/>
        <v>0</v>
      </c>
      <c r="AI71" s="342"/>
      <c r="AJ71" s="342"/>
      <c r="AK71" s="342">
        <f>IF(AE71&gt;0,IF(AK70=0,AD71,0),0)</f>
        <v>0</v>
      </c>
      <c r="AL71" s="342">
        <f>IF(AF71&gt;0,IF(AL70=0,AD71,0),0)</f>
        <v>0</v>
      </c>
      <c r="AO71" s="351">
        <f>SUM(F71:L71)</f>
        <v>-2202799.00985</v>
      </c>
      <c r="AP71" s="351">
        <f t="shared" si="2"/>
        <v>-2411115.4186</v>
      </c>
      <c r="AQ71" s="351">
        <f t="shared" ref="AQ71:AQ110" si="5">AO71-AP71</f>
        <v>208316.40874999994</v>
      </c>
    </row>
    <row r="72" spans="1:43" s="341" customFormat="1" x14ac:dyDescent="0.3">
      <c r="A72" s="345">
        <v>2</v>
      </c>
      <c r="B72" s="355"/>
      <c r="C72" s="346">
        <f>IF(A72&lt;='Eingabeblatt 1'!$D$18,C71+1,"")</f>
        <v>2020</v>
      </c>
      <c r="D72" s="345">
        <f>IF(A72&lt;='Eingabeblatt 1'!$D$18,D71+1,"")</f>
        <v>2</v>
      </c>
      <c r="E72" s="354">
        <f>IF(A72&lt;='Eingabeblatt 1'!$D$18,IF(D72='Eingabeblatt 1'!$D$65,-'Eingabeblatt 1'!$L$65*(1+'Eingabeblatt 1'!$J$65)^D72,IF(D72='Eingabeblatt 1'!$D$66,-'Eingabeblatt 1'!$L$66*(1+'Eingabeblatt 1'!$J$66)^D72,IF(D72='Eingabeblatt 1'!$D$67,-'Eingabeblatt 1'!$L$67*(1+'Eingabeblatt 1'!$J$67)^D72,0))),"")</f>
        <v>0</v>
      </c>
      <c r="F72" s="354">
        <f t="shared" ref="F72:F110" si="6">-Y72</f>
        <v>-1388159.4270000001</v>
      </c>
      <c r="G72" s="347">
        <f>IF(A72&lt;='Eingabeblatt 1'!$D$18,IF(D72='Eingabeblatt 1'!$D$72,-('Eingabeblatt 1'!$L$71+'Eingabeblatt 1'!$L$72)*(1+'Eingabeblatt 1'!$J$71)^'Zusammenfassung Ergebnis'!D72,-('Eingabeblatt 1'!$L$71)*(1+'Eingabeblatt 1'!$J$71)^'Zusammenfassung Ergebnis'!D72),"")</f>
        <v>-436968</v>
      </c>
      <c r="H72" s="347">
        <f>IF(A72&lt;='Eingabeblatt 1'!$D$18,H71*(1+'Eingabeblatt 1'!$J$73),"")</f>
        <v>-322087.5</v>
      </c>
      <c r="I72" s="347">
        <f>IF(A72&lt;='Eingabeblatt 1'!$D$18,(-'Eingabeblatt 1'!$L$75*(1+'Eingabeblatt 1'!$J$75)^'Zusammenfassung Ergebnis'!D72)-('Eingabeblatt 1'!$L$76*(1+'Eingabeblatt 1'!$J$76)^'Zusammenfassung Ergebnis'!D72)-('Eingabeblatt 1'!$L$77*(1+'Eingabeblatt 1'!$J$77)^'Zusammenfassung Ergebnis'!D72),"")</f>
        <v>-175714.97726299995</v>
      </c>
      <c r="J72" s="347">
        <f>IF(A71&lt;='Eingabeblatt 1'!$D$18,'Eingabeblatt 1'!$D$81*(1+'Eingabeblatt 1'!$J$81)^'Zusammenfassung Ergebnis'!D72)</f>
        <v>5100.5</v>
      </c>
      <c r="K72" s="348">
        <f>IF(A72&lt;='Eingabeblatt 1'!$D$18,'Eingabeblatt 1'!$L$15*(1+'Eingabeblatt 1'!$D$15)^D72,"")</f>
        <v>129792.00000000001</v>
      </c>
      <c r="L72" s="348">
        <f>IF(D72&lt;='Eingabeblatt 1'!$D$18,(SUMIFS('Eingabeblatt 2'!$K$14:$K$53,'Eingabeblatt 2'!$Q$14:$Q$53,'Zusammenfassung Ergebnis'!D72))*(1+'Eingabeblatt 1'!$J$65)^'Zusammenfassung Ergebnis'!D72,"")</f>
        <v>0</v>
      </c>
      <c r="M72" s="349">
        <f>IF(A72&lt;='Eingabeblatt 1'!$D$18,SUM(G72:L72)+E72,"")</f>
        <v>-799877.97726299998</v>
      </c>
      <c r="N72" s="350">
        <f>IF(A72&lt;='Eingabeblatt 1'!$D$18,(E72+G72+H72+I72+J72+K72+L72)/(1+'Eingabeblatt 1'!$D$19)^D72,"")</f>
        <v>-739532.15353457828</v>
      </c>
      <c r="O72" s="350">
        <f>IF(A72&lt;='Eingabeblatt 1'!$D$18,O71+N72,"")</f>
        <v>-31938348.929092277</v>
      </c>
      <c r="R72" s="351">
        <f>(((40-D72)/40*$Q$70))*('Eingabeblatt 1'!$D$20)+$Q$70/40</f>
        <v>116285.84</v>
      </c>
      <c r="S72" s="351"/>
      <c r="T72" s="351">
        <f>(((30-D72)/30*$S$70))*('Eingabeblatt 1'!$D$20)+$S$70/30</f>
        <v>0</v>
      </c>
      <c r="U72" s="351"/>
      <c r="V72" s="351">
        <f>(((20-D72)/20*$U$70))*('Eingabeblatt 1'!$D$20)+$U$70/20</f>
        <v>723785.01300000004</v>
      </c>
      <c r="W72" s="351"/>
      <c r="X72" s="351">
        <f>(((10-D72)/10*$W$70))*('Eingabeblatt 1'!$D$20)+$W$70/10</f>
        <v>548088.57400000002</v>
      </c>
      <c r="Y72" s="354">
        <f t="shared" ref="Y72:Y110" si="7">R72+T72+V72+X72</f>
        <v>1388159.4270000001</v>
      </c>
      <c r="AD72" s="342">
        <v>2</v>
      </c>
      <c r="AE72" s="352">
        <f t="shared" si="3"/>
        <v>-31938348.929092277</v>
      </c>
      <c r="AF72" s="352">
        <f t="shared" si="0"/>
        <v>-32436186.469382394</v>
      </c>
      <c r="AG72" s="352">
        <f t="shared" si="4"/>
        <v>-497837.54029011726</v>
      </c>
      <c r="AH72" s="353">
        <f t="shared" si="1"/>
        <v>0</v>
      </c>
      <c r="AI72" s="342"/>
      <c r="AJ72" s="342"/>
      <c r="AK72" s="342">
        <f>IF(AE72&gt;0,IF(SUM(AK70:AK71)=0,AD72,0),0)</f>
        <v>0</v>
      </c>
      <c r="AL72" s="342">
        <f>IF(AF72&gt;0,IF(SUM(AL70:AL71)=0,AD72,0),0)</f>
        <v>0</v>
      </c>
      <c r="AO72" s="351">
        <f t="shared" ref="AO72:AO110" si="8">SUM(F72:L72)</f>
        <v>-2188037.404263</v>
      </c>
      <c r="AP72" s="351">
        <f t="shared" si="2"/>
        <v>-2405104.8130760002</v>
      </c>
      <c r="AQ72" s="351">
        <f t="shared" si="5"/>
        <v>217067.40881300019</v>
      </c>
    </row>
    <row r="73" spans="1:43" s="341" customFormat="1" x14ac:dyDescent="0.3">
      <c r="A73" s="345">
        <v>3</v>
      </c>
      <c r="C73" s="346">
        <f>IF(A73&lt;='Eingabeblatt 1'!$D$18,C72+1,"")</f>
        <v>2021</v>
      </c>
      <c r="D73" s="345">
        <f>IF(A73&lt;='Eingabeblatt 1'!$D$18,D72+1,"")</f>
        <v>3</v>
      </c>
      <c r="E73" s="354">
        <f>IF(A73&lt;='Eingabeblatt 1'!$D$18,IF(D73='Eingabeblatt 1'!$D$65,-'Eingabeblatt 1'!$L$65*(1+'Eingabeblatt 1'!$J$65)^D73,IF(D73='Eingabeblatt 1'!$D$66,-'Eingabeblatt 1'!$L$66*(1+'Eingabeblatt 1'!$J$66)^D73,IF(D73='Eingabeblatt 1'!$D$67,-'Eingabeblatt 1'!$L$67*(1+'Eingabeblatt 1'!$J$67)^D73,0))),"")</f>
        <v>0</v>
      </c>
      <c r="F73" s="354">
        <f t="shared" si="6"/>
        <v>-1366744.2967500002</v>
      </c>
      <c r="G73" s="347">
        <f>IF(A73&lt;='Eingabeblatt 1'!$D$18,IF(D73='Eingabeblatt 1'!$D$72,-('Eingabeblatt 1'!$L$71+'Eingabeblatt 1'!$L$72)*(1+'Eingabeblatt 1'!$J$71)^'Zusammenfassung Ergebnis'!D73,-('Eingabeblatt 1'!$L$71)*(1+'Eingabeblatt 1'!$J$71)^'Zusammenfassung Ergebnis'!D73),"")</f>
        <v>-445707.36</v>
      </c>
      <c r="H73" s="347">
        <f>IF(A73&lt;='Eingabeblatt 1'!$D$18,H72*(1+'Eingabeblatt 1'!$J$73),"")</f>
        <v>-329334.46875</v>
      </c>
      <c r="I73" s="347">
        <f>IF(A73&lt;='Eingabeblatt 1'!$D$18,(-'Eingabeblatt 1'!$L$75*(1+'Eingabeblatt 1'!$J$75)^'Zusammenfassung Ergebnis'!D73)-('Eingabeblatt 1'!$L$76*(1+'Eingabeblatt 1'!$J$76)^'Zusammenfassung Ergebnis'!D73)-('Eingabeblatt 1'!$L$77*(1+'Eingabeblatt 1'!$J$77)^'Zusammenfassung Ergebnis'!D73),"")</f>
        <v>-176610.11857331492</v>
      </c>
      <c r="J73" s="347">
        <f>IF(A72&lt;='Eingabeblatt 1'!$D$18,'Eingabeblatt 1'!$D$81*(1+'Eingabeblatt 1'!$J$81)^'Zusammenfassung Ergebnis'!D73)</f>
        <v>5151.5049999999992</v>
      </c>
      <c r="K73" s="348">
        <f>IF(A73&lt;='Eingabeblatt 1'!$D$18,'Eingabeblatt 1'!$L$15*(1+'Eingabeblatt 1'!$D$15)^D73,"")</f>
        <v>134983.68000000002</v>
      </c>
      <c r="L73" s="348">
        <f>IF(D73&lt;='Eingabeblatt 1'!$D$18,(SUMIFS('Eingabeblatt 2'!$K$14:$K$53,'Eingabeblatt 2'!$Q$14:$Q$53,'Zusammenfassung Ergebnis'!D73))*(1+'Eingabeblatt 1'!$J$65)^'Zusammenfassung Ergebnis'!D73,"")</f>
        <v>0</v>
      </c>
      <c r="M73" s="349">
        <f>IF(A73&lt;='Eingabeblatt 1'!$D$18,SUM(G73:L73)+E73,"")</f>
        <v>-811516.76232331479</v>
      </c>
      <c r="N73" s="350">
        <f>IF(A73&lt;='Eingabeblatt 1'!$D$18,(E73+G73+H73+I73+J73+K73+L73)/(1+'Eingabeblatt 1'!$D$19)^D73,"")</f>
        <v>-721435.44670583704</v>
      </c>
      <c r="O73" s="350">
        <f>IF(A73&lt;='Eingabeblatt 1'!$D$18,O72+N73,"")</f>
        <v>-32659784.375798114</v>
      </c>
      <c r="R73" s="351">
        <f>(((40-D73)/40*$Q$70))*('Eingabeblatt 1'!$D$20)+$Q$70/40</f>
        <v>114964.41</v>
      </c>
      <c r="S73" s="351"/>
      <c r="T73" s="351">
        <f>(((30-D73)/30*$S$70))*('Eingabeblatt 1'!$D$20)+$S$70/30</f>
        <v>0</v>
      </c>
      <c r="U73" s="351"/>
      <c r="V73" s="351">
        <f>(((20-D73)/20*$U$70))*('Eingabeblatt 1'!$D$20)+$U$70/20</f>
        <v>713141.11575000011</v>
      </c>
      <c r="W73" s="351"/>
      <c r="X73" s="351">
        <f>(((10-D73)/10*$W$70))*('Eingabeblatt 1'!$D$20)+$W$70/10</f>
        <v>538638.77100000007</v>
      </c>
      <c r="Y73" s="354">
        <f t="shared" si="7"/>
        <v>1366744.2967500002</v>
      </c>
      <c r="AD73" s="342">
        <v>3</v>
      </c>
      <c r="AE73" s="352">
        <f t="shared" si="3"/>
        <v>-32659784.375798114</v>
      </c>
      <c r="AF73" s="352">
        <f t="shared" si="0"/>
        <v>-33299507.532972489</v>
      </c>
      <c r="AG73" s="352">
        <f t="shared" si="4"/>
        <v>-639723.15717437491</v>
      </c>
      <c r="AH73" s="353">
        <f t="shared" si="1"/>
        <v>0</v>
      </c>
      <c r="AI73" s="342"/>
      <c r="AJ73" s="342"/>
      <c r="AK73" s="342">
        <f>IF(AE73&gt;0,IF(SUM(AK70:AK72)=0,AD73,0),0)</f>
        <v>0</v>
      </c>
      <c r="AL73" s="342">
        <f>IF(AF73&gt;0,IF(SUM(AL70:AL72)=0,AD73,0),0)</f>
        <v>0</v>
      </c>
      <c r="AO73" s="351">
        <f t="shared" si="8"/>
        <v>-2178261.059073315</v>
      </c>
      <c r="AP73" s="351">
        <f t="shared" si="2"/>
        <v>-2399427.3448742102</v>
      </c>
      <c r="AQ73" s="351">
        <f t="shared" si="5"/>
        <v>221166.28580089519</v>
      </c>
    </row>
    <row r="74" spans="1:43" s="341" customFormat="1" x14ac:dyDescent="0.3">
      <c r="A74" s="345">
        <v>4</v>
      </c>
      <c r="C74" s="346">
        <f>IF(A74&lt;='Eingabeblatt 1'!$D$18,C73+1,"")</f>
        <v>2022</v>
      </c>
      <c r="D74" s="345">
        <f>IF(A74&lt;='Eingabeblatt 1'!$D$18,D73+1,"")</f>
        <v>4</v>
      </c>
      <c r="E74" s="354">
        <f>IF(A74&lt;='Eingabeblatt 1'!$D$18,IF(D74='Eingabeblatt 1'!$D$65,-'Eingabeblatt 1'!$L$65*(1+'Eingabeblatt 1'!$J$65)^D74,IF(D74='Eingabeblatt 1'!$D$66,-'Eingabeblatt 1'!$L$66*(1+'Eingabeblatt 1'!$J$66)^D74,IF(D74='Eingabeblatt 1'!$D$67,-'Eingabeblatt 1'!$L$67*(1+'Eingabeblatt 1'!$J$67)^D74,0))),"")</f>
        <v>0</v>
      </c>
      <c r="F74" s="354">
        <f t="shared" si="6"/>
        <v>-1345329.1665000001</v>
      </c>
      <c r="G74" s="347">
        <f>IF(A74&lt;='Eingabeblatt 1'!$D$18,IF(D74='Eingabeblatt 1'!$D$72,-('Eingabeblatt 1'!$L$71+'Eingabeblatt 1'!$L$72)*(1+'Eingabeblatt 1'!$J$71)^'Zusammenfassung Ergebnis'!D74,-('Eingabeblatt 1'!$L$71)*(1+'Eingabeblatt 1'!$J$71)^'Zusammenfassung Ergebnis'!D74),"")</f>
        <v>-454621.50719999999</v>
      </c>
      <c r="H74" s="347">
        <f>IF(A74&lt;='Eingabeblatt 1'!$D$18,H73*(1+'Eingabeblatt 1'!$J$73),"")</f>
        <v>-336744.49429687497</v>
      </c>
      <c r="I74" s="347">
        <f>IF(A74&lt;='Eingabeblatt 1'!$D$18,(-'Eingabeblatt 1'!$L$75*(1+'Eingabeblatt 1'!$J$75)^'Zusammenfassung Ergebnis'!D74)-('Eingabeblatt 1'!$L$76*(1+'Eingabeblatt 1'!$J$76)^'Zusammenfassung Ergebnis'!D74)-('Eingabeblatt 1'!$L$77*(1+'Eingabeblatt 1'!$J$77)^'Zusammenfassung Ergebnis'!D74),"")</f>
        <v>-177509.90125442145</v>
      </c>
      <c r="J74" s="347">
        <f>IF(A73&lt;='Eingabeblatt 1'!$D$18,'Eingabeblatt 1'!$D$81*(1+'Eingabeblatt 1'!$J$81)^'Zusammenfassung Ergebnis'!D74)</f>
        <v>5203.0200500000001</v>
      </c>
      <c r="K74" s="348">
        <f>IF(A74&lt;='Eingabeblatt 1'!$D$18,'Eingabeblatt 1'!$L$15*(1+'Eingabeblatt 1'!$D$15)^D74,"")</f>
        <v>140383.02720000001</v>
      </c>
      <c r="L74" s="348">
        <f>IF(D74&lt;='Eingabeblatt 1'!$D$18,(SUMIFS('Eingabeblatt 2'!$K$14:$K$53,'Eingabeblatt 2'!$Q$14:$Q$53,'Zusammenfassung Ergebnis'!D74))*(1+'Eingabeblatt 1'!$J$65)^'Zusammenfassung Ergebnis'!D74,"")</f>
        <v>0</v>
      </c>
      <c r="M74" s="349">
        <f>IF(A74&lt;='Eingabeblatt 1'!$D$18,SUM(G74:L74)+E74,"")</f>
        <v>-823289.85550129635</v>
      </c>
      <c r="N74" s="350">
        <f>IF(A74&lt;='Eingabeblatt 1'!$D$18,(E74+G74+H74+I74+J74+K74+L74)/(1+'Eingabeblatt 1'!$D$19)^D74,"")</f>
        <v>-703751.61891476542</v>
      </c>
      <c r="O74" s="350">
        <f>IF(A74&lt;='Eingabeblatt 1'!$D$18,O73+N74,"")</f>
        <v>-33363535.994712878</v>
      </c>
      <c r="R74" s="351">
        <f>(((40-D74)/40*$Q$70))*('Eingabeblatt 1'!$D$20)+$Q$70/40</f>
        <v>113642.98000000001</v>
      </c>
      <c r="S74" s="351"/>
      <c r="T74" s="351">
        <f>(((30-D74)/30*$S$70))*('Eingabeblatt 1'!$D$20)+$S$70/30</f>
        <v>0</v>
      </c>
      <c r="U74" s="351"/>
      <c r="V74" s="351">
        <f>(((20-D74)/20*$U$70))*('Eingabeblatt 1'!$D$20)+$U$70/20</f>
        <v>702497.21850000008</v>
      </c>
      <c r="W74" s="351"/>
      <c r="X74" s="351">
        <f>(((10-D74)/10*$W$70))*('Eingabeblatt 1'!$D$20)+$W$70/10</f>
        <v>529188.96799999999</v>
      </c>
      <c r="Y74" s="354">
        <f t="shared" si="7"/>
        <v>1345329.1665000001</v>
      </c>
      <c r="AD74" s="342">
        <v>4</v>
      </c>
      <c r="AE74" s="352">
        <f t="shared" si="3"/>
        <v>-33363535.994712878</v>
      </c>
      <c r="AF74" s="352">
        <f t="shared" si="0"/>
        <v>-34144440.35264343</v>
      </c>
      <c r="AG74" s="352">
        <f t="shared" si="4"/>
        <v>-780904.35793055221</v>
      </c>
      <c r="AH74" s="353">
        <f t="shared" si="1"/>
        <v>0</v>
      </c>
      <c r="AI74" s="342"/>
      <c r="AJ74" s="342"/>
      <c r="AK74" s="342">
        <f>IF(AE74&gt;0,IF(SUM(AK70:AK73)=0,AD74,0),0)</f>
        <v>0</v>
      </c>
      <c r="AL74" s="342">
        <f>IF(AF74&gt;0,IF(SUM(AL70:AL73)=0,AD74,0),0)</f>
        <v>0</v>
      </c>
      <c r="AO74" s="351">
        <f t="shared" si="8"/>
        <v>-2168619.0220012967</v>
      </c>
      <c r="AP74" s="351">
        <f t="shared" si="2"/>
        <v>-2394089.9717169893</v>
      </c>
      <c r="AQ74" s="351">
        <f t="shared" si="5"/>
        <v>225470.94971569255</v>
      </c>
    </row>
    <row r="75" spans="1:43" s="341" customFormat="1" x14ac:dyDescent="0.3">
      <c r="A75" s="345">
        <v>5</v>
      </c>
      <c r="C75" s="346">
        <f>IF(A75&lt;='Eingabeblatt 1'!$D$18,C74+1,"")</f>
        <v>2023</v>
      </c>
      <c r="D75" s="345">
        <f>IF(A75&lt;='Eingabeblatt 1'!$D$18,D74+1,"")</f>
        <v>5</v>
      </c>
      <c r="E75" s="354">
        <f>IF(A75&lt;='Eingabeblatt 1'!$D$18,IF(D75='Eingabeblatt 1'!$D$65,-'Eingabeblatt 1'!$L$65*(1+'Eingabeblatt 1'!$J$65)^D75,IF(D75='Eingabeblatt 1'!$D$66,-'Eingabeblatt 1'!$L$66*(1+'Eingabeblatt 1'!$J$66)^D75,IF(D75='Eingabeblatt 1'!$D$67,-'Eingabeblatt 1'!$L$67*(1+'Eingabeblatt 1'!$J$67)^D75,0))),"")</f>
        <v>0</v>
      </c>
      <c r="F75" s="354">
        <f t="shared" si="6"/>
        <v>-1323914.0362500001</v>
      </c>
      <c r="G75" s="347">
        <f>IF(A75&lt;='Eingabeblatt 1'!$D$18,IF(D75='Eingabeblatt 1'!$D$72,-('Eingabeblatt 1'!$L$71+'Eingabeblatt 1'!$L$72)*(1+'Eingabeblatt 1'!$J$71)^'Zusammenfassung Ergebnis'!D75,-('Eingabeblatt 1'!$L$71)*(1+'Eingabeblatt 1'!$J$71)^'Zusammenfassung Ergebnis'!D75),"")</f>
        <v>-463713.93734400003</v>
      </c>
      <c r="H75" s="347">
        <f>IF(A75&lt;='Eingabeblatt 1'!$D$18,H74*(1+'Eingabeblatt 1'!$J$73),"")</f>
        <v>-344321.24541855464</v>
      </c>
      <c r="I75" s="347">
        <f>IF(A75&lt;='Eingabeblatt 1'!$D$18,(-'Eingabeblatt 1'!$L$75*(1+'Eingabeblatt 1'!$J$75)^'Zusammenfassung Ergebnis'!D75)-('Eingabeblatt 1'!$L$76*(1+'Eingabeblatt 1'!$J$76)^'Zusammenfassung Ergebnis'!D75)-('Eingabeblatt 1'!$L$77*(1+'Eingabeblatt 1'!$J$77)^'Zusammenfassung Ergebnis'!D75),"")</f>
        <v>-178414.35016981591</v>
      </c>
      <c r="J75" s="347">
        <f>IF(A74&lt;='Eingabeblatt 1'!$D$18,'Eingabeblatt 1'!$D$81*(1+'Eingabeblatt 1'!$J$81)^'Zusammenfassung Ergebnis'!D75)</f>
        <v>5255.0502504999995</v>
      </c>
      <c r="K75" s="348">
        <f>IF(A75&lt;='Eingabeblatt 1'!$D$18,'Eingabeblatt 1'!$L$15*(1+'Eingabeblatt 1'!$D$15)^D75,"")</f>
        <v>145998.34828800004</v>
      </c>
      <c r="L75" s="348">
        <f>IF(D75&lt;='Eingabeblatt 1'!$D$18,(SUMIFS('Eingabeblatt 2'!$K$14:$K$53,'Eingabeblatt 2'!$Q$14:$Q$53,'Zusammenfassung Ergebnis'!D75))*(1+'Eingabeblatt 1'!$J$65)^'Zusammenfassung Ergebnis'!D75,"")</f>
        <v>0</v>
      </c>
      <c r="M75" s="349">
        <f>IF(A75&lt;='Eingabeblatt 1'!$D$18,SUM(G75:L75)+E75,"")</f>
        <v>-835196.1343938706</v>
      </c>
      <c r="N75" s="350">
        <f>IF(A75&lt;='Eingabeblatt 1'!$D$18,(E75+G75+H75+I75+J75+K75+L75)/(1+'Eingabeblatt 1'!$D$19)^D75,"")</f>
        <v>-686470.34231894859</v>
      </c>
      <c r="O75" s="350">
        <f>IF(A75&lt;='Eingabeblatt 1'!$D$18,O74+N75,"")</f>
        <v>-34050006.337031826</v>
      </c>
      <c r="R75" s="351">
        <f>(((40-D75)/40*$Q$70))*('Eingabeblatt 1'!$D$20)+$Q$70/40</f>
        <v>112321.55</v>
      </c>
      <c r="S75" s="351"/>
      <c r="T75" s="351">
        <f>(((30-D75)/30*$S$70))*('Eingabeblatt 1'!$D$20)+$S$70/30</f>
        <v>0</v>
      </c>
      <c r="U75" s="351"/>
      <c r="V75" s="351">
        <f>(((20-D75)/20*$U$70))*('Eingabeblatt 1'!$D$20)+$U$70/20</f>
        <v>691853.32125000004</v>
      </c>
      <c r="W75" s="351"/>
      <c r="X75" s="351">
        <f>(((10-D75)/10*$W$70))*('Eingabeblatt 1'!$D$20)+$W$70/10</f>
        <v>519739.16500000004</v>
      </c>
      <c r="Y75" s="354">
        <f t="shared" si="7"/>
        <v>1323914.0362500001</v>
      </c>
      <c r="AD75" s="342">
        <v>5</v>
      </c>
      <c r="AE75" s="352">
        <f t="shared" si="3"/>
        <v>-34050006.337031826</v>
      </c>
      <c r="AF75" s="352">
        <f t="shared" si="0"/>
        <v>-34971407.680161998</v>
      </c>
      <c r="AG75" s="352">
        <f>IFERROR(AF75-AE75,0)</f>
        <v>-921401.3431301713</v>
      </c>
      <c r="AH75" s="353">
        <f t="shared" si="1"/>
        <v>0</v>
      </c>
      <c r="AI75" s="342"/>
      <c r="AJ75" s="342"/>
      <c r="AK75" s="342">
        <f>IF(AE75&gt;0,IF(SUM(AK70:AK74)=0,AD75,0),0)</f>
        <v>0</v>
      </c>
      <c r="AL75" s="342">
        <f>IF(AF75&gt;0,IF(SUM(AL70:AL74)=0,AD75,0),0)</f>
        <v>0</v>
      </c>
      <c r="AO75" s="351">
        <f t="shared" si="8"/>
        <v>-2159110.1706438707</v>
      </c>
      <c r="AP75" s="351">
        <f t="shared" si="2"/>
        <v>-2389099.7992154323</v>
      </c>
      <c r="AQ75" s="351">
        <f t="shared" si="5"/>
        <v>229989.62857156154</v>
      </c>
    </row>
    <row r="76" spans="1:43" s="341" customFormat="1" x14ac:dyDescent="0.3">
      <c r="A76" s="345">
        <v>6</v>
      </c>
      <c r="C76" s="346">
        <f>IF(A76&lt;='Eingabeblatt 1'!$D$18,C75+1,"")</f>
        <v>2024</v>
      </c>
      <c r="D76" s="345">
        <f>IF(A76&lt;='Eingabeblatt 1'!$D$18,D75+1,"")</f>
        <v>6</v>
      </c>
      <c r="E76" s="354">
        <f>IF(A76&lt;='Eingabeblatt 1'!$D$18,IF(D76='Eingabeblatt 1'!$D$65,-'Eingabeblatt 1'!$L$65*(1+'Eingabeblatt 1'!$J$65)^D76,IF(D76='Eingabeblatt 1'!$D$66,-'Eingabeblatt 1'!$L$66*(1+'Eingabeblatt 1'!$J$66)^D76,IF(D76='Eingabeblatt 1'!$D$67,-'Eingabeblatt 1'!$L$67*(1+'Eingabeblatt 1'!$J$67)^D76,0))),"")</f>
        <v>0</v>
      </c>
      <c r="F76" s="354">
        <f t="shared" si="6"/>
        <v>-1302498.906</v>
      </c>
      <c r="G76" s="347">
        <f>IF(A76&lt;='Eingabeblatt 1'!$D$18,IF(D76='Eingabeblatt 1'!$D$72,-('Eingabeblatt 1'!$L$71+'Eingabeblatt 1'!$L$72)*(1+'Eingabeblatt 1'!$J$71)^'Zusammenfassung Ergebnis'!D76,-('Eingabeblatt 1'!$L$71)*(1+'Eingabeblatt 1'!$J$71)^'Zusammenfassung Ergebnis'!D76),"")</f>
        <v>-472988.21609088004</v>
      </c>
      <c r="H76" s="347">
        <f>IF(A76&lt;='Eingabeblatt 1'!$D$18,H75*(1+'Eingabeblatt 1'!$J$73),"")</f>
        <v>-352068.47344047209</v>
      </c>
      <c r="I76" s="347">
        <f>IF(A76&lt;='Eingabeblatt 1'!$D$18,(-'Eingabeblatt 1'!$L$75*(1+'Eingabeblatt 1'!$J$75)^'Zusammenfassung Ergebnis'!D76)-('Eingabeblatt 1'!$L$76*(1+'Eingabeblatt 1'!$J$76)^'Zusammenfassung Ergebnis'!D76)-('Eingabeblatt 1'!$L$77*(1+'Eingabeblatt 1'!$J$77)^'Zusammenfassung Ergebnis'!D76),"")</f>
        <v>-179323.49032387862</v>
      </c>
      <c r="J76" s="347">
        <f>IF(A75&lt;='Eingabeblatt 1'!$D$18,'Eingabeblatt 1'!$D$81*(1+'Eingabeblatt 1'!$J$81)^'Zusammenfassung Ergebnis'!D76)</f>
        <v>5307.600753005001</v>
      </c>
      <c r="K76" s="348">
        <f>IF(A76&lt;='Eingabeblatt 1'!$D$18,'Eingabeblatt 1'!$L$15*(1+'Eingabeblatt 1'!$D$15)^D76,"")</f>
        <v>151838.28221952004</v>
      </c>
      <c r="L76" s="348">
        <f>IF(D76&lt;='Eingabeblatt 1'!$D$18,(SUMIFS('Eingabeblatt 2'!$K$14:$K$53,'Eingabeblatt 2'!$Q$14:$Q$53,'Zusammenfassung Ergebnis'!D76))*(1+'Eingabeblatt 1'!$J$65)^'Zusammenfassung Ergebnis'!D76,"")</f>
        <v>0</v>
      </c>
      <c r="M76" s="349">
        <f>IF(A76&lt;='Eingabeblatt 1'!$D$18,SUM(G76:L76)+E76,"")</f>
        <v>-847234.29688270565</v>
      </c>
      <c r="N76" s="350">
        <f>IF(A76&lt;='Eingabeblatt 1'!$D$18,(E76+G76+H76+I76+J76+K76+L76)/(1+'Eingabeblatt 1'!$D$19)^D76,"")</f>
        <v>-669581.57152316894</v>
      </c>
      <c r="O76" s="350">
        <f>IF(A76&lt;='Eingabeblatt 1'!$D$18,O75+N76,"")</f>
        <v>-34719587.908554994</v>
      </c>
      <c r="R76" s="351">
        <f>(((40-D76)/40*$Q$70))*('Eingabeblatt 1'!$D$20)+$Q$70/40</f>
        <v>111000.12</v>
      </c>
      <c r="S76" s="351"/>
      <c r="T76" s="351">
        <f>(((30-D76)/30*$S$70))*('Eingabeblatt 1'!$D$20)+$S$70/30</f>
        <v>0</v>
      </c>
      <c r="U76" s="351"/>
      <c r="V76" s="351">
        <f>(((20-D76)/20*$U$70))*('Eingabeblatt 1'!$D$20)+$U$70/20</f>
        <v>681209.424</v>
      </c>
      <c r="W76" s="351"/>
      <c r="X76" s="351">
        <f>(((10-D76)/10*$W$70))*('Eingabeblatt 1'!$D$20)+$W$70/10</f>
        <v>510289.36200000002</v>
      </c>
      <c r="Y76" s="354">
        <f t="shared" si="7"/>
        <v>1302498.906</v>
      </c>
      <c r="AD76" s="342">
        <v>6</v>
      </c>
      <c r="AE76" s="352">
        <f t="shared" si="3"/>
        <v>-34719587.908554994</v>
      </c>
      <c r="AF76" s="352">
        <f t="shared" si="0"/>
        <v>-35780821.708615996</v>
      </c>
      <c r="AG76" s="352">
        <f t="shared" si="4"/>
        <v>-1061233.8000610024</v>
      </c>
      <c r="AH76" s="353">
        <f t="shared" si="1"/>
        <v>0</v>
      </c>
      <c r="AI76" s="342"/>
      <c r="AJ76" s="342"/>
      <c r="AK76" s="342">
        <f>IF(AE76&gt;0,IF(SUM(AK70:AK75)=0,AD76,0),0)</f>
        <v>0</v>
      </c>
      <c r="AL76" s="342">
        <f>IF(AF76&gt;0,IF(SUM(AL70:AL75)=0,AD76,0),0)</f>
        <v>0</v>
      </c>
      <c r="AO76" s="351">
        <f t="shared" si="8"/>
        <v>-2149733.2028827062</v>
      </c>
      <c r="AP76" s="351">
        <f t="shared" si="2"/>
        <v>-2384464.0840403074</v>
      </c>
      <c r="AQ76" s="351">
        <f t="shared" si="5"/>
        <v>234730.88115760125</v>
      </c>
    </row>
    <row r="77" spans="1:43" s="341" customFormat="1" x14ac:dyDescent="0.3">
      <c r="A77" s="345">
        <v>7</v>
      </c>
      <c r="C77" s="346">
        <f>IF(A77&lt;='Eingabeblatt 1'!$D$18,C76+1,"")</f>
        <v>2025</v>
      </c>
      <c r="D77" s="345">
        <f>IF(A77&lt;='Eingabeblatt 1'!$D$18,D76+1,"")</f>
        <v>7</v>
      </c>
      <c r="E77" s="354">
        <f>IF(A77&lt;='Eingabeblatt 1'!$D$18,IF(D77='Eingabeblatt 1'!$D$65,-'Eingabeblatt 1'!$L$65*(1+'Eingabeblatt 1'!$J$65)^D77,IF(D77='Eingabeblatt 1'!$D$66,-'Eingabeblatt 1'!$L$66*(1+'Eingabeblatt 1'!$J$66)^D77,IF(D77='Eingabeblatt 1'!$D$67,-'Eingabeblatt 1'!$L$67*(1+'Eingabeblatt 1'!$J$67)^D77,0))),"")</f>
        <v>0</v>
      </c>
      <c r="F77" s="354">
        <f t="shared" si="6"/>
        <v>-1281083.77575</v>
      </c>
      <c r="G77" s="347">
        <f>IF(A77&lt;='Eingabeblatt 1'!$D$18,IF(D77='Eingabeblatt 1'!$D$72,-('Eingabeblatt 1'!$L$71+'Eingabeblatt 1'!$L$72)*(1+'Eingabeblatt 1'!$J$71)^'Zusammenfassung Ergebnis'!D77,-('Eingabeblatt 1'!$L$71)*(1+'Eingabeblatt 1'!$J$71)^'Zusammenfassung Ergebnis'!D77),"")</f>
        <v>-482447.98041269754</v>
      </c>
      <c r="H77" s="347">
        <f>IF(A77&lt;='Eingabeblatt 1'!$D$18,H76*(1+'Eingabeblatt 1'!$J$73),"")</f>
        <v>-359990.01409288269</v>
      </c>
      <c r="I77" s="347">
        <f>IF(A77&lt;='Eingabeblatt 1'!$D$18,(-'Eingabeblatt 1'!$L$75*(1+'Eingabeblatt 1'!$J$75)^'Zusammenfassung Ergebnis'!D77)-('Eingabeblatt 1'!$L$76*(1+'Eingabeblatt 1'!$J$76)^'Zusammenfassung Ergebnis'!D77)-('Eingabeblatt 1'!$L$77*(1+'Eingabeblatt 1'!$J$77)^'Zusammenfassung Ergebnis'!D77),"")</f>
        <v>-180237.34686274373</v>
      </c>
      <c r="J77" s="347">
        <f>IF(A76&lt;='Eingabeblatt 1'!$D$18,'Eingabeblatt 1'!$D$81*(1+'Eingabeblatt 1'!$J$81)^'Zusammenfassung Ergebnis'!D77)</f>
        <v>5360.6767605350487</v>
      </c>
      <c r="K77" s="348">
        <f>IF(A77&lt;='Eingabeblatt 1'!$D$18,'Eingabeblatt 1'!$L$15*(1+'Eingabeblatt 1'!$D$15)^D77,"")</f>
        <v>157911.81350830084</v>
      </c>
      <c r="L77" s="348">
        <f>IF(D77&lt;='Eingabeblatt 1'!$D$18,(SUMIFS('Eingabeblatt 2'!$K$14:$K$53,'Eingabeblatt 2'!$Q$14:$Q$53,'Zusammenfassung Ergebnis'!D77))*(1+'Eingabeblatt 1'!$J$65)^'Zusammenfassung Ergebnis'!D77,"")</f>
        <v>0</v>
      </c>
      <c r="M77" s="349">
        <f>IF(A77&lt;='Eingabeblatt 1'!$D$18,SUM(G77:L77)+E77,"")</f>
        <v>-859402.85109948809</v>
      </c>
      <c r="N77" s="350">
        <f>IF(A77&lt;='Eingabeblatt 1'!$D$18,(E77+G77+H77+I77+J77+K77+L77)/(1+'Eingabeblatt 1'!$D$19)^D77,"")</f>
        <v>-653075.53526714141</v>
      </c>
      <c r="O77" s="350">
        <f>IF(A77&lt;='Eingabeblatt 1'!$D$18,O76+N77,"")</f>
        <v>-35372663.443822138</v>
      </c>
      <c r="R77" s="351">
        <f>(((40-D77)/40*$Q$70))*('Eingabeblatt 1'!$D$20)+$Q$70/40</f>
        <v>109678.69</v>
      </c>
      <c r="S77" s="351"/>
      <c r="T77" s="351">
        <f>(((30-D77)/30*$S$70))*('Eingabeblatt 1'!$D$20)+$S$70/30</f>
        <v>0</v>
      </c>
      <c r="U77" s="351"/>
      <c r="V77" s="351">
        <f>(((20-D77)/20*$U$70))*('Eingabeblatt 1'!$D$20)+$U$70/20</f>
        <v>670565.52675000008</v>
      </c>
      <c r="W77" s="351"/>
      <c r="X77" s="351">
        <f>(((10-D77)/10*$W$70))*('Eingabeblatt 1'!$D$20)+$W$70/10</f>
        <v>500839.55900000001</v>
      </c>
      <c r="Y77" s="354">
        <f t="shared" si="7"/>
        <v>1281083.77575</v>
      </c>
      <c r="AD77" s="342">
        <v>7</v>
      </c>
      <c r="AE77" s="352">
        <f t="shared" si="3"/>
        <v>-35372663.443822138</v>
      </c>
      <c r="AF77" s="352">
        <f t="shared" si="0"/>
        <v>-36573084.357494935</v>
      </c>
      <c r="AG77" s="352">
        <f t="shared" si="4"/>
        <v>-1200420.9136727974</v>
      </c>
      <c r="AH77" s="353">
        <f t="shared" si="1"/>
        <v>0</v>
      </c>
      <c r="AI77" s="342"/>
      <c r="AJ77" s="342"/>
      <c r="AK77" s="342">
        <f>IF(AE77&gt;0,IF(SUM(AK70:AK76)=0,AD77,0),0)</f>
        <v>0</v>
      </c>
      <c r="AL77" s="342">
        <f>IF(AF77&gt;0,IF(SUM(AL70:AL76)=0,AD77,0),0)</f>
        <v>0</v>
      </c>
      <c r="AO77" s="351">
        <f t="shared" si="8"/>
        <v>-2140486.6268494874</v>
      </c>
      <c r="AP77" s="351">
        <f t="shared" si="2"/>
        <v>-2380190.2371613584</v>
      </c>
      <c r="AQ77" s="351">
        <f t="shared" si="5"/>
        <v>239703.61031187093</v>
      </c>
    </row>
    <row r="78" spans="1:43" s="341" customFormat="1" x14ac:dyDescent="0.3">
      <c r="A78" s="345">
        <v>8</v>
      </c>
      <c r="C78" s="346">
        <f>IF(A78&lt;='Eingabeblatt 1'!$D$18,C77+1,"")</f>
        <v>2026</v>
      </c>
      <c r="D78" s="345">
        <f>IF(A78&lt;='Eingabeblatt 1'!$D$18,D77+1,"")</f>
        <v>8</v>
      </c>
      <c r="E78" s="354">
        <f>IF(A78&lt;='Eingabeblatt 1'!$D$18,IF(D78='Eingabeblatt 1'!$D$65,-'Eingabeblatt 1'!$L$65*(1+'Eingabeblatt 1'!$J$65)^D78,IF(D78='Eingabeblatt 1'!$D$66,-'Eingabeblatt 1'!$L$66*(1+'Eingabeblatt 1'!$J$66)^D78,IF(D78='Eingabeblatt 1'!$D$67,-'Eingabeblatt 1'!$L$67*(1+'Eingabeblatt 1'!$J$67)^D78,0))),"")</f>
        <v>0</v>
      </c>
      <c r="F78" s="354">
        <f t="shared" si="6"/>
        <v>-1259668.6455000001</v>
      </c>
      <c r="G78" s="347">
        <f>IF(A78&lt;='Eingabeblatt 1'!$D$18,IF(D78='Eingabeblatt 1'!$D$72,-('Eingabeblatt 1'!$L$71+'Eingabeblatt 1'!$L$72)*(1+'Eingabeblatt 1'!$J$71)^'Zusammenfassung Ergebnis'!D78,-('Eingabeblatt 1'!$L$71)*(1+'Eingabeblatt 1'!$J$71)^'Zusammenfassung Ergebnis'!D78),"")</f>
        <v>-492096.9400209515</v>
      </c>
      <c r="H78" s="347">
        <f>IF(A78&lt;='Eingabeblatt 1'!$D$18,H77*(1+'Eingabeblatt 1'!$J$73),"")</f>
        <v>-368089.78940997255</v>
      </c>
      <c r="I78" s="347">
        <f>IF(A78&lt;='Eingabeblatt 1'!$D$18,(-'Eingabeblatt 1'!$L$75*(1+'Eingabeblatt 1'!$J$75)^'Zusammenfassung Ergebnis'!D78)-('Eingabeblatt 1'!$L$76*(1+'Eingabeblatt 1'!$J$76)^'Zusammenfassung Ergebnis'!D78)-('Eingabeblatt 1'!$L$77*(1+'Eingabeblatt 1'!$J$77)^'Zusammenfassung Ergebnis'!D78),"")</f>
        <v>-181155.94507517567</v>
      </c>
      <c r="J78" s="347">
        <f>IF(A77&lt;='Eingabeblatt 1'!$D$18,'Eingabeblatt 1'!$D$81*(1+'Eingabeblatt 1'!$J$81)^'Zusammenfassung Ergebnis'!D78)</f>
        <v>5414.2835281404014</v>
      </c>
      <c r="K78" s="348">
        <f>IF(A78&lt;='Eingabeblatt 1'!$D$18,'Eingabeblatt 1'!$L$15*(1+'Eingabeblatt 1'!$D$15)^D78,"")</f>
        <v>164228.2860486329</v>
      </c>
      <c r="L78" s="348">
        <f>IF(D78&lt;='Eingabeblatt 1'!$D$18,(SUMIFS('Eingabeblatt 2'!$K$14:$K$53,'Eingabeblatt 2'!$Q$14:$Q$53,'Zusammenfassung Ergebnis'!D78))*(1+'Eingabeblatt 1'!$J$65)^'Zusammenfassung Ergebnis'!D78,"")</f>
        <v>0</v>
      </c>
      <c r="M78" s="349">
        <f>IF(A78&lt;='Eingabeblatt 1'!$D$18,SUM(G78:L78)+E78,"")</f>
        <v>-871700.10492932633</v>
      </c>
      <c r="N78" s="350">
        <f>IF(A78&lt;='Eingabeblatt 1'!$D$18,(E78+G78+H78+I78+J78+K78+L78)/(1+'Eingabeblatt 1'!$D$19)^D78,"")</f>
        <v>-636942.72837106022</v>
      </c>
      <c r="O78" s="350">
        <f>IF(A78&lt;='Eingabeblatt 1'!$D$18,O77+N78,"")</f>
        <v>-36009606.172193199</v>
      </c>
      <c r="R78" s="351">
        <f>(((40-D78)/40*$Q$70))*('Eingabeblatt 1'!$D$20)+$Q$70/40</f>
        <v>108357.26000000001</v>
      </c>
      <c r="S78" s="351"/>
      <c r="T78" s="351">
        <f>(((30-D78)/30*$S$70))*('Eingabeblatt 1'!$D$20)+$S$70/30</f>
        <v>0</v>
      </c>
      <c r="U78" s="351"/>
      <c r="V78" s="351">
        <f>(((20-D78)/20*$U$70))*('Eingabeblatt 1'!$D$20)+$U$70/20</f>
        <v>659921.62950000004</v>
      </c>
      <c r="W78" s="351"/>
      <c r="X78" s="351">
        <f>(((10-D78)/10*$W$70))*('Eingabeblatt 1'!$D$20)+$W$70/10</f>
        <v>491389.75600000005</v>
      </c>
      <c r="Y78" s="354">
        <f t="shared" si="7"/>
        <v>1259668.6455000001</v>
      </c>
      <c r="AD78" s="342">
        <v>8</v>
      </c>
      <c r="AE78" s="352">
        <f t="shared" si="3"/>
        <v>-36009606.172193199</v>
      </c>
      <c r="AF78" s="352">
        <f t="shared" si="0"/>
        <v>-37348587.54956416</v>
      </c>
      <c r="AG78" s="352">
        <f t="shared" si="4"/>
        <v>-1338981.377370961</v>
      </c>
      <c r="AH78" s="353">
        <f t="shared" si="1"/>
        <v>0</v>
      </c>
      <c r="AI78" s="342"/>
      <c r="AJ78" s="342"/>
      <c r="AK78" s="342">
        <f>IF(AE78&gt;0,IF(SUM(AK70:AK77)=0,AD78,0),0)</f>
        <v>0</v>
      </c>
      <c r="AL78" s="342">
        <f>IF(AF78&gt;0,IF(SUM(AL70:AL77)=0,AD78,0),0)</f>
        <v>0</v>
      </c>
      <c r="AO78" s="351">
        <f t="shared" si="8"/>
        <v>-2131368.7504293267</v>
      </c>
      <c r="AP78" s="351">
        <f t="shared" si="2"/>
        <v>-2376285.8271564394</v>
      </c>
      <c r="AQ78" s="351">
        <f t="shared" si="5"/>
        <v>244917.07672711276</v>
      </c>
    </row>
    <row r="79" spans="1:43" s="341" customFormat="1" x14ac:dyDescent="0.3">
      <c r="A79" s="345">
        <v>9</v>
      </c>
      <c r="C79" s="346">
        <f>IF(A79&lt;='Eingabeblatt 1'!$D$18,C78+1,"")</f>
        <v>2027</v>
      </c>
      <c r="D79" s="345">
        <f>IF(A79&lt;='Eingabeblatt 1'!$D$18,D78+1,"")</f>
        <v>9</v>
      </c>
      <c r="E79" s="354">
        <f>IF(A79&lt;='Eingabeblatt 1'!$D$18,IF(D79='Eingabeblatt 1'!$D$65,-'Eingabeblatt 1'!$L$65*(1+'Eingabeblatt 1'!$J$65)^D79,IF(D79='Eingabeblatt 1'!$D$66,-'Eingabeblatt 1'!$L$66*(1+'Eingabeblatt 1'!$J$66)^D79,IF(D79='Eingabeblatt 1'!$D$67,-'Eingabeblatt 1'!$L$67*(1+'Eingabeblatt 1'!$J$67)^D79,0))),"")</f>
        <v>0</v>
      </c>
      <c r="F79" s="354">
        <f t="shared" si="6"/>
        <v>-1238253.5152500002</v>
      </c>
      <c r="G79" s="347">
        <f>IF(A79&lt;='Eingabeblatt 1'!$D$18,IF(D79='Eingabeblatt 1'!$D$72,-('Eingabeblatt 1'!$L$71+'Eingabeblatt 1'!$L$72)*(1+'Eingabeblatt 1'!$J$71)^'Zusammenfassung Ergebnis'!D79,-('Eingabeblatt 1'!$L$71)*(1+'Eingabeblatt 1'!$J$71)^'Zusammenfassung Ergebnis'!D79),"")</f>
        <v>-501938.87882137054</v>
      </c>
      <c r="H79" s="347">
        <f>IF(A79&lt;='Eingabeblatt 1'!$D$18,H78*(1+'Eingabeblatt 1'!$J$73),"")</f>
        <v>-376371.80967169692</v>
      </c>
      <c r="I79" s="347">
        <f>IF(A79&lt;='Eingabeblatt 1'!$D$18,(-'Eingabeblatt 1'!$L$75*(1+'Eingabeblatt 1'!$J$75)^'Zusammenfassung Ergebnis'!D79)-('Eingabeblatt 1'!$L$76*(1+'Eingabeblatt 1'!$J$76)^'Zusammenfassung Ergebnis'!D79)-('Eingabeblatt 1'!$L$77*(1+'Eingabeblatt 1'!$J$77)^'Zusammenfassung Ergebnis'!D79),"")</f>
        <v>-182079.31039345093</v>
      </c>
      <c r="J79" s="347">
        <f>IF(A78&lt;='Eingabeblatt 1'!$D$18,'Eingabeblatt 1'!$D$81*(1+'Eingabeblatt 1'!$J$81)^'Zusammenfassung Ergebnis'!D79)</f>
        <v>5468.4263634218059</v>
      </c>
      <c r="K79" s="348">
        <f>IF(A79&lt;='Eingabeblatt 1'!$D$18,'Eingabeblatt 1'!$L$15*(1+'Eingabeblatt 1'!$D$15)^D79,"")</f>
        <v>170797.41749057823</v>
      </c>
      <c r="L79" s="348">
        <f>IF(D79&lt;='Eingabeblatt 1'!$D$18,(SUMIFS('Eingabeblatt 2'!$K$14:$K$53,'Eingabeblatt 2'!$Q$14:$Q$53,'Zusammenfassung Ergebnis'!D79))*(1+'Eingabeblatt 1'!$J$65)^'Zusammenfassung Ergebnis'!D79,"")</f>
        <v>0</v>
      </c>
      <c r="M79" s="349">
        <f>IF(A79&lt;='Eingabeblatt 1'!$D$18,SUM(G79:L79)+E79,"")</f>
        <v>-884124.15503251832</v>
      </c>
      <c r="N79" s="350">
        <f>IF(A79&lt;='Eingabeblatt 1'!$D$18,(E79+G79+H79+I79+J79+K79+L79)/(1+'Eingabeblatt 1'!$D$19)^D79,"")</f>
        <v>-621173.90393068886</v>
      </c>
      <c r="O79" s="350">
        <f>IF(A79&lt;='Eingabeblatt 1'!$D$18,O78+N79,"")</f>
        <v>-36630780.076123886</v>
      </c>
      <c r="R79" s="351">
        <f>(((40-D79)/40*$Q$70))*('Eingabeblatt 1'!$D$20)+$Q$70/40</f>
        <v>107035.83</v>
      </c>
      <c r="S79" s="351"/>
      <c r="T79" s="351">
        <f>(((30-D79)/30*$S$70))*('Eingabeblatt 1'!$D$20)+$S$70/30</f>
        <v>0</v>
      </c>
      <c r="U79" s="351"/>
      <c r="V79" s="351">
        <f>(((20-D79)/20*$U$70))*('Eingabeblatt 1'!$D$20)+$U$70/20</f>
        <v>649277.73225000012</v>
      </c>
      <c r="W79" s="351"/>
      <c r="X79" s="351">
        <f>(((10-D79)/10*$W$70))*('Eingabeblatt 1'!$D$20)+$W$70/10</f>
        <v>481939.95300000004</v>
      </c>
      <c r="Y79" s="354">
        <f t="shared" si="7"/>
        <v>1238253.5152500002</v>
      </c>
      <c r="AD79" s="342">
        <v>9</v>
      </c>
      <c r="AE79" s="352">
        <f t="shared" si="3"/>
        <v>-36630780.076123886</v>
      </c>
      <c r="AF79" s="352">
        <f t="shared" si="0"/>
        <v>-38107713.479780249</v>
      </c>
      <c r="AG79" s="352">
        <f t="shared" si="4"/>
        <v>-1476933.4036563635</v>
      </c>
      <c r="AH79" s="353">
        <f t="shared" si="1"/>
        <v>0</v>
      </c>
      <c r="AI79" s="342"/>
      <c r="AJ79" s="342"/>
      <c r="AK79" s="342">
        <f>IF(AE79&gt;0,IF(SUM(AK70:AK78)=0,AD79,0),0)</f>
        <v>0</v>
      </c>
      <c r="AL79" s="342">
        <f>IF(AF79&gt;0,IF(SUM(AL70:AL78)=0,AD79,0),0)</f>
        <v>0</v>
      </c>
      <c r="AO79" s="351">
        <f t="shared" si="8"/>
        <v>-2122377.6702825185</v>
      </c>
      <c r="AP79" s="351">
        <f t="shared" si="2"/>
        <v>-2372758.5835920102</v>
      </c>
      <c r="AQ79" s="351">
        <f t="shared" si="5"/>
        <v>250380.91330949171</v>
      </c>
    </row>
    <row r="80" spans="1:43" s="341" customFormat="1" x14ac:dyDescent="0.3">
      <c r="A80" s="345">
        <v>10</v>
      </c>
      <c r="C80" s="346">
        <f>IF(A80&lt;='Eingabeblatt 1'!$D$18,C79+1,"")</f>
        <v>2028</v>
      </c>
      <c r="D80" s="345">
        <f>IF(A80&lt;='Eingabeblatt 1'!$D$18,D79+1,"")</f>
        <v>10</v>
      </c>
      <c r="E80" s="354">
        <f>IF(A80&lt;='Eingabeblatt 1'!$D$18,IF(D80='Eingabeblatt 1'!$D$65,-'Eingabeblatt 1'!$L$65*(1+'Eingabeblatt 1'!$J$65)^D80,IF(D80='Eingabeblatt 1'!$D$66,-'Eingabeblatt 1'!$L$66*(1+'Eingabeblatt 1'!$J$66)^D80,IF(D80='Eingabeblatt 1'!$D$67,-'Eingabeblatt 1'!$L$67*(1+'Eingabeblatt 1'!$J$67)^D80,0))),"")</f>
        <v>-9732620.3466443047</v>
      </c>
      <c r="F80" s="354">
        <f t="shared" si="6"/>
        <v>-1423984.4054959333</v>
      </c>
      <c r="G80" s="347">
        <f>IF(A80&lt;='Eingabeblatt 1'!$D$18,IF(D80='Eingabeblatt 1'!$D$72,-('Eingabeblatt 1'!$L$71+'Eingabeblatt 1'!$L$72)*(1+'Eingabeblatt 1'!$J$71)^'Zusammenfassung Ergebnis'!D80,-('Eingabeblatt 1'!$L$71)*(1+'Eingabeblatt 1'!$J$71)^'Zusammenfassung Ergebnis'!D80),"")</f>
        <v>-511977.65639779798</v>
      </c>
      <c r="H80" s="347">
        <f>IF(A80&lt;='Eingabeblatt 1'!$D$18,H79*(1+'Eingabeblatt 1'!$J$73),"")</f>
        <v>-384840.17538931005</v>
      </c>
      <c r="I80" s="347">
        <f>IF(A80&lt;='Eingabeblatt 1'!$D$18,(-'Eingabeblatt 1'!$L$75*(1+'Eingabeblatt 1'!$J$75)^'Zusammenfassung Ergebnis'!D80)-('Eingabeblatt 1'!$L$76*(1+'Eingabeblatt 1'!$J$76)^'Zusammenfassung Ergebnis'!D80)-('Eingabeblatt 1'!$L$77*(1+'Eingabeblatt 1'!$J$77)^'Zusammenfassung Ergebnis'!D80),"")</f>
        <v>-183007.46839424653</v>
      </c>
      <c r="J80" s="347">
        <f>IF(A79&lt;='Eingabeblatt 1'!$D$18,'Eingabeblatt 1'!$D$81*(1+'Eingabeblatt 1'!$J$81)^'Zusammenfassung Ergebnis'!D80)</f>
        <v>5523.110627056024</v>
      </c>
      <c r="K80" s="348">
        <f>IF(A80&lt;='Eingabeblatt 1'!$D$18,'Eingabeblatt 1'!$L$15*(1+'Eingabeblatt 1'!$D$15)^D80,"")</f>
        <v>177629.31419020134</v>
      </c>
      <c r="L80" s="348">
        <f>IF(D80&lt;='Eingabeblatt 1'!$D$18,(SUMIFS('Eingabeblatt 2'!$Q$14:$Q$53,'Eingabeblatt 2'!$E$14:$E$53,'Zusammenfassung Ergebnis'!D80))*(1+'Eingabeblatt 1'!$J$65)^'Zusammenfassung Ergebnis'!D80,"")</f>
        <v>249934.58879746933</v>
      </c>
      <c r="M80" s="349">
        <f>IF(A80&lt;='Eingabeblatt 1'!$D$18,SUM(G80:L80)+E80,"")</f>
        <v>-10379358.633210933</v>
      </c>
      <c r="N80" s="350">
        <f>IF(A80&lt;='Eingabeblatt 1'!$D$18,(E80+G80+H80+I80+J80+K80+L80)/(1+'Eingabeblatt 1'!$D$19)^D80,"")</f>
        <v>-7011922.7879900206</v>
      </c>
      <c r="O80" s="350">
        <f>IF(A80&lt;='Eingabeblatt 1'!$D$18,O79+N80,"")</f>
        <v>-43642702.864113905</v>
      </c>
      <c r="R80" s="351">
        <f>(((40-D80)/40*$Q$70))*('Eingabeblatt 1'!$D$20)+$Q$70/40</f>
        <v>105714.4</v>
      </c>
      <c r="S80" s="351"/>
      <c r="T80" s="351">
        <f>(((30-D80)/30*$S$70))*('Eingabeblatt 1'!$D$20)+$S$70/30</f>
        <v>0</v>
      </c>
      <c r="U80" s="351"/>
      <c r="V80" s="351">
        <f>(((20-D80)/20*$U$70))*('Eingabeblatt 1'!$D$20)+$U$70/20</f>
        <v>638633.83500000008</v>
      </c>
      <c r="W80" s="351">
        <f>(SUMIFS('Eingabeblatt 2'!O14:O36,'Eingabeblatt 2'!E14:E36,10))*(1+'Eingabeblatt 1'!J65)^'Zusammenfassung Ergebnis'!D80</f>
        <v>5759628.5635248581</v>
      </c>
      <c r="X80" s="351">
        <f>(((10-D71)/10*$W$80))*('Eingabeblatt 1'!$D$20)+$W$80/10</f>
        <v>679636.17049593327</v>
      </c>
      <c r="Y80" s="354">
        <f t="shared" si="7"/>
        <v>1423984.4054959333</v>
      </c>
      <c r="AD80" s="342">
        <v>10</v>
      </c>
      <c r="AE80" s="352">
        <f t="shared" si="3"/>
        <v>-43642702.864113905</v>
      </c>
      <c r="AF80" s="352">
        <f t="shared" si="0"/>
        <v>-47069813.733277239</v>
      </c>
      <c r="AG80" s="352">
        <f t="shared" si="4"/>
        <v>-3427110.8691633344</v>
      </c>
      <c r="AH80" s="353">
        <f t="shared" si="1"/>
        <v>0</v>
      </c>
      <c r="AI80" s="342"/>
      <c r="AJ80" s="342"/>
      <c r="AK80" s="342">
        <f>IF(AE80&gt;0,IF(SUM(AK70:AK79)=0,AD80,0),0)</f>
        <v>0</v>
      </c>
      <c r="AL80" s="342">
        <f>IF(AF80&gt;0,IF(SUM(AL70:AL79)=0,AD80,0),0)</f>
        <v>0</v>
      </c>
      <c r="AO80" s="351">
        <f t="shared" si="8"/>
        <v>-2070722.6920625607</v>
      </c>
      <c r="AP80" s="351">
        <f t="shared" si="2"/>
        <v>-2501753.9005501075</v>
      </c>
      <c r="AQ80" s="351">
        <f t="shared" si="5"/>
        <v>431031.20848754677</v>
      </c>
    </row>
    <row r="81" spans="1:43" s="341" customFormat="1" x14ac:dyDescent="0.3">
      <c r="A81" s="345">
        <v>11</v>
      </c>
      <c r="C81" s="346">
        <f>IF(A81&lt;='Eingabeblatt 1'!$D$18,C80+1,"")</f>
        <v>2029</v>
      </c>
      <c r="D81" s="345">
        <f>IF(A81&lt;='Eingabeblatt 1'!$D$18,D80+1,"")</f>
        <v>11</v>
      </c>
      <c r="E81" s="354">
        <f>IF(A81&lt;='Eingabeblatt 1'!$D$18,IF(D81='Eingabeblatt 1'!$D$65,-'Eingabeblatt 1'!$L$65*(1+'Eingabeblatt 1'!$J$65)^D81,IF(D81='Eingabeblatt 1'!$D$66,-'Eingabeblatt 1'!$L$66*(1+'Eingabeblatt 1'!$J$66)^D81,IF(D81='Eingabeblatt 1'!$D$67,-'Eingabeblatt 1'!$L$67*(1+'Eingabeblatt 1'!$J$67)^D81,0))),"")</f>
        <v>0</v>
      </c>
      <c r="F81" s="354">
        <f t="shared" si="6"/>
        <v>-1400499.8211188836</v>
      </c>
      <c r="G81" s="347">
        <f>IF(A81&lt;='Eingabeblatt 1'!$D$18,IF(D81='Eingabeblatt 1'!$D$72,-('Eingabeblatt 1'!$L$71+'Eingabeblatt 1'!$L$72)*(1+'Eingabeblatt 1'!$J$71)^'Zusammenfassung Ergebnis'!D81,-('Eingabeblatt 1'!$L$71)*(1+'Eingabeblatt 1'!$J$71)^'Zusammenfassung Ergebnis'!D81),"")</f>
        <v>-522217.20952575386</v>
      </c>
      <c r="H81" s="347">
        <f>IF(A81&lt;='Eingabeblatt 1'!$D$18,H80*(1+'Eingabeblatt 1'!$J$73),"")</f>
        <v>-393499.07933556952</v>
      </c>
      <c r="I81" s="347">
        <f>IF(A81&lt;='Eingabeblatt 1'!$D$18,(-'Eingabeblatt 1'!$L$75*(1+'Eingabeblatt 1'!$J$75)^'Zusammenfassung Ergebnis'!D81)-('Eingabeblatt 1'!$L$76*(1+'Eingabeblatt 1'!$J$76)^'Zusammenfassung Ergebnis'!D81)-('Eingabeblatt 1'!$L$77*(1+'Eingabeblatt 1'!$J$77)^'Zusammenfassung Ergebnis'!D81),"")</f>
        <v>-183940.44479953442</v>
      </c>
      <c r="J81" s="347">
        <f>IF(A80&lt;='Eingabeblatt 1'!$D$18,'Eingabeblatt 1'!$D$81*(1+'Eingabeblatt 1'!$J$81)^'Zusammenfassung Ergebnis'!D81)</f>
        <v>5578.3417333265825</v>
      </c>
      <c r="K81" s="348">
        <f>IF(A81&lt;='Eingabeblatt 1'!$D$18,'Eingabeblatt 1'!$L$15*(1+'Eingabeblatt 1'!$D$15)^D81,"")</f>
        <v>184734.48675780938</v>
      </c>
      <c r="L81" s="348">
        <f>IF(D81&lt;='Eingabeblatt 1'!$D$18,(SUMIFS('Eingabeblatt 2'!$Q$14:$Q$53,'Eingabeblatt 2'!$E$14:$E$53,'Zusammenfassung Ergebnis'!D81))*(1+'Eingabeblatt 1'!$J$65)^'Zusammenfassung Ergebnis'!D81,"")</f>
        <v>0</v>
      </c>
      <c r="M81" s="349">
        <f>IF(A81&lt;='Eingabeblatt 1'!$D$18,SUM(G81:L81)+E81,"")</f>
        <v>-909343.90516972181</v>
      </c>
      <c r="N81" s="350">
        <f>IF(A81&lt;='Eingabeblatt 1'!$D$18,(E81+G81+H81+I81+J81+K81+L81)/(1+'Eingabeblatt 1'!$D$19)^D81,"")</f>
        <v>-590692.46103152784</v>
      </c>
      <c r="O81" s="350">
        <f>IF(A81&lt;='Eingabeblatt 1'!$D$18,O80+N81,"")</f>
        <v>-44233395.325145431</v>
      </c>
      <c r="R81" s="351">
        <f>(((40-D81)/40*$Q$70))*('Eingabeblatt 1'!$D$20)+$Q$70/40</f>
        <v>104392.97</v>
      </c>
      <c r="S81" s="351"/>
      <c r="T81" s="351">
        <f>(((30-D81)/30*$S$70))*('Eingabeblatt 1'!$D$20)+$S$70/30</f>
        <v>0</v>
      </c>
      <c r="U81" s="351"/>
      <c r="V81" s="351">
        <f>(((20-D81)/20*$U$70))*('Eingabeblatt 1'!$D$20)+$U$70/20</f>
        <v>627989.93775000004</v>
      </c>
      <c r="W81" s="351"/>
      <c r="X81" s="351">
        <f>(((10-D72)/10*$W$80))*('Eingabeblatt 1'!$D$20)+$W$80/10</f>
        <v>668116.91336888354</v>
      </c>
      <c r="Y81" s="354">
        <f t="shared" si="7"/>
        <v>1400499.8211188836</v>
      </c>
      <c r="AD81" s="342">
        <v>11</v>
      </c>
      <c r="AE81" s="352">
        <f t="shared" si="3"/>
        <v>-44233395.325145431</v>
      </c>
      <c r="AF81" s="352">
        <f t="shared" si="0"/>
        <v>-47797294.111918077</v>
      </c>
      <c r="AG81" s="352">
        <f t="shared" si="4"/>
        <v>-3563898.786772646</v>
      </c>
      <c r="AH81" s="353">
        <f t="shared" si="1"/>
        <v>0</v>
      </c>
      <c r="AI81" s="342"/>
      <c r="AJ81" s="342"/>
      <c r="AK81" s="342">
        <f>IF(AE81&gt;0,IF(SUM(AK70:AK80)=0,AD81,0),0)</f>
        <v>0</v>
      </c>
      <c r="AL81" s="342">
        <f>IF(AF81&gt;0,IF(SUM(AL70:AL80)=0,AD81,0),0)</f>
        <v>0</v>
      </c>
      <c r="AO81" s="351">
        <f t="shared" si="8"/>
        <v>-2309843.7262886055</v>
      </c>
      <c r="AP81" s="351">
        <f t="shared" si="2"/>
        <v>-2625949.7647738019</v>
      </c>
      <c r="AQ81" s="351">
        <f t="shared" si="5"/>
        <v>316106.03848519642</v>
      </c>
    </row>
    <row r="82" spans="1:43" s="341" customFormat="1" x14ac:dyDescent="0.3">
      <c r="A82" s="345">
        <v>12</v>
      </c>
      <c r="C82" s="346">
        <f>IF(A82&lt;='Eingabeblatt 1'!$D$18,C81+1,"")</f>
        <v>2030</v>
      </c>
      <c r="D82" s="345">
        <f>IF(A82&lt;='Eingabeblatt 1'!$D$18,D81+1,"")</f>
        <v>12</v>
      </c>
      <c r="E82" s="354">
        <f>IF(A82&lt;='Eingabeblatt 1'!$D$18,IF(D82='Eingabeblatt 1'!$D$65,-'Eingabeblatt 1'!$L$65*(1+'Eingabeblatt 1'!$J$65)^D82,IF(D82='Eingabeblatt 1'!$D$66,-'Eingabeblatt 1'!$L$66*(1+'Eingabeblatt 1'!$J$66)^D82,IF(D82='Eingabeblatt 1'!$D$67,-'Eingabeblatt 1'!$L$67*(1+'Eingabeblatt 1'!$J$67)^D82,0))),"")</f>
        <v>0</v>
      </c>
      <c r="F82" s="354">
        <f t="shared" si="6"/>
        <v>-1377015.2367418339</v>
      </c>
      <c r="G82" s="347">
        <f>IF(A82&lt;='Eingabeblatt 1'!$D$18,IF(D82='Eingabeblatt 1'!$D$72,-('Eingabeblatt 1'!$L$71+'Eingabeblatt 1'!$L$72)*(1+'Eingabeblatt 1'!$J$71)^'Zusammenfassung Ergebnis'!D82,-('Eingabeblatt 1'!$L$71)*(1+'Eingabeblatt 1'!$J$71)^'Zusammenfassung Ergebnis'!D82),"")</f>
        <v>-532661.55371626897</v>
      </c>
      <c r="H82" s="347">
        <f>IF(A82&lt;='Eingabeblatt 1'!$D$18,H81*(1+'Eingabeblatt 1'!$J$73),"")</f>
        <v>-402352.80862061982</v>
      </c>
      <c r="I82" s="347">
        <f>IF(A82&lt;='Eingabeblatt 1'!$D$18,(-'Eingabeblatt 1'!$L$75*(1+'Eingabeblatt 1'!$J$75)^'Zusammenfassung Ergebnis'!D82)-('Eingabeblatt 1'!$L$76*(1+'Eingabeblatt 1'!$J$76)^'Zusammenfassung Ergebnis'!D82)-('Eingabeblatt 1'!$L$77*(1+'Eingabeblatt 1'!$J$77)^'Zusammenfassung Ergebnis'!D82),"")</f>
        <v>-184878.26547748191</v>
      </c>
      <c r="J82" s="347">
        <f>IF(A81&lt;='Eingabeblatt 1'!$D$18,'Eingabeblatt 1'!$D$81*(1+'Eingabeblatt 1'!$J$81)^'Zusammenfassung Ergebnis'!D82)</f>
        <v>5634.1251506598492</v>
      </c>
      <c r="K82" s="348">
        <f>IF(A82&lt;='Eingabeblatt 1'!$D$18,'Eingabeblatt 1'!$L$15*(1+'Eingabeblatt 1'!$D$15)^D82,"")</f>
        <v>192123.8662281218</v>
      </c>
      <c r="L82" s="348">
        <f>IF(D82&lt;='Eingabeblatt 1'!$D$18,(SUMIFS('Eingabeblatt 2'!$Q$14:$Q$53,'Eingabeblatt 2'!$E$14:$E$53,'Zusammenfassung Ergebnis'!D82))*(1+'Eingabeblatt 1'!$J$65)^'Zusammenfassung Ergebnis'!D82,"")</f>
        <v>0</v>
      </c>
      <c r="M82" s="349">
        <f>IF(A82&lt;='Eingabeblatt 1'!$D$18,SUM(G82:L82)+E82,"")</f>
        <v>-922134.63643558905</v>
      </c>
      <c r="N82" s="350">
        <f>IF(A82&lt;='Eingabeblatt 1'!$D$18,(E82+G82+H82+I82+J82+K82+L82)/(1+'Eingabeblatt 1'!$D$19)^D82,"")</f>
        <v>-575962.57323325495</v>
      </c>
      <c r="O82" s="350">
        <f>IF(A82&lt;='Eingabeblatt 1'!$D$18,O81+N82,"")</f>
        <v>-44809357.898378685</v>
      </c>
      <c r="R82" s="351">
        <f>(((40-D82)/40*$Q$70))*('Eingabeblatt 1'!$D$20)+$Q$70/40</f>
        <v>103071.54</v>
      </c>
      <c r="S82" s="351"/>
      <c r="T82" s="351">
        <f>(((30-D82)/30*$S$70))*('Eingabeblatt 1'!$D$20)+$S$70/30</f>
        <v>0</v>
      </c>
      <c r="U82" s="351"/>
      <c r="V82" s="351">
        <f>(((20-D82)/20*$U$70))*('Eingabeblatt 1'!$D$20)+$U$70/20</f>
        <v>617346.04050000012</v>
      </c>
      <c r="W82" s="351"/>
      <c r="X82" s="351">
        <f>(((10-D73)/10*$W$80))*('Eingabeblatt 1'!$D$20)+$W$80/10</f>
        <v>656597.65624183381</v>
      </c>
      <c r="Y82" s="354">
        <f t="shared" si="7"/>
        <v>1377015.2367418339</v>
      </c>
      <c r="AD82" s="342">
        <v>12</v>
      </c>
      <c r="AE82" s="352">
        <f t="shared" si="3"/>
        <v>-44809357.898378685</v>
      </c>
      <c r="AF82" s="352">
        <f t="shared" si="0"/>
        <v>-48509488.021481887</v>
      </c>
      <c r="AG82" s="352">
        <f t="shared" si="4"/>
        <v>-3700130.1231032014</v>
      </c>
      <c r="AH82" s="353">
        <f t="shared" si="1"/>
        <v>0</v>
      </c>
      <c r="AI82" s="342"/>
      <c r="AJ82" s="342"/>
      <c r="AK82" s="342">
        <f>IF(AE82&gt;0,IF(SUM(AK70:AK81)=0,AC82,0),0)</f>
        <v>0</v>
      </c>
      <c r="AL82" s="342">
        <f>IF(AF82&gt;0,IF(SUM(AL70:AL81)=0,AD82,0),0)</f>
        <v>0</v>
      </c>
      <c r="AO82" s="351">
        <f t="shared" si="8"/>
        <v>-2299149.8731774222</v>
      </c>
      <c r="AP82" s="351">
        <f t="shared" si="2"/>
        <v>-2620987.6258409889</v>
      </c>
      <c r="AQ82" s="351">
        <f t="shared" si="5"/>
        <v>321837.75266356673</v>
      </c>
    </row>
    <row r="83" spans="1:43" s="341" customFormat="1" x14ac:dyDescent="0.3">
      <c r="A83" s="345">
        <v>13</v>
      </c>
      <c r="C83" s="346">
        <f>IF(A83&lt;='Eingabeblatt 1'!$D$18,C82+1,"")</f>
        <v>2031</v>
      </c>
      <c r="D83" s="345">
        <f>IF(A83&lt;='Eingabeblatt 1'!$D$18,D82+1,"")</f>
        <v>13</v>
      </c>
      <c r="E83" s="354">
        <f>IF(A83&lt;='Eingabeblatt 1'!$D$18,IF(D83='Eingabeblatt 1'!$D$65,-'Eingabeblatt 1'!$L$65*(1+'Eingabeblatt 1'!$J$65)^D83,IF(D83='Eingabeblatt 1'!$D$66,-'Eingabeblatt 1'!$L$66*(1+'Eingabeblatt 1'!$J$66)^D83,IF(D83='Eingabeblatt 1'!$D$67,-'Eingabeblatt 1'!$L$67*(1+'Eingabeblatt 1'!$J$67)^D83,0))),"")</f>
        <v>0</v>
      </c>
      <c r="F83" s="354">
        <f t="shared" si="6"/>
        <v>-1353530.6523647842</v>
      </c>
      <c r="G83" s="347">
        <f>IF(A83&lt;='Eingabeblatt 1'!$D$18,IF(D83='Eingabeblatt 1'!$D$72,-('Eingabeblatt 1'!$L$71+'Eingabeblatt 1'!$L$72)*(1+'Eingabeblatt 1'!$J$71)^'Zusammenfassung Ergebnis'!D83,-('Eingabeblatt 1'!$L$71)*(1+'Eingabeblatt 1'!$J$71)^'Zusammenfassung Ergebnis'!D83),"")</f>
        <v>-543314.78479059436</v>
      </c>
      <c r="H83" s="347">
        <f>IF(A83&lt;='Eingabeblatt 1'!$D$18,H82*(1+'Eingabeblatt 1'!$J$73),"")</f>
        <v>-411405.74681458378</v>
      </c>
      <c r="I83" s="347">
        <f>IF(A83&lt;='Eingabeblatt 1'!$D$18,(-'Eingabeblatt 1'!$L$75*(1+'Eingabeblatt 1'!$J$75)^'Zusammenfassung Ergebnis'!D83)-('Eingabeblatt 1'!$L$76*(1+'Eingabeblatt 1'!$J$76)^'Zusammenfassung Ergebnis'!D83)-('Eingabeblatt 1'!$L$77*(1+'Eingabeblatt 1'!$J$77)^'Zusammenfassung Ergebnis'!D83),"")</f>
        <v>-185820.95644335865</v>
      </c>
      <c r="J83" s="347">
        <f>IF(A82&lt;='Eingabeblatt 1'!$D$18,'Eingabeblatt 1'!$D$81*(1+'Eingabeblatt 1'!$J$81)^'Zusammenfassung Ergebnis'!D83)</f>
        <v>5690.4664021664476</v>
      </c>
      <c r="K83" s="348">
        <f>IF(A83&lt;='Eingabeblatt 1'!$D$18,'Eingabeblatt 1'!$L$15*(1+'Eingabeblatt 1'!$D$15)^D83,"")</f>
        <v>199808.82087724668</v>
      </c>
      <c r="L83" s="348">
        <f>IF(D83&lt;='Eingabeblatt 1'!$D$18,(SUMIFS('Eingabeblatt 2'!$Q$14:$Q$53,'Eingabeblatt 2'!$E$14:$E$53,'Zusammenfassung Ergebnis'!D83))*(1+'Eingabeblatt 1'!$J$65)^'Zusammenfassung Ergebnis'!D83,"")</f>
        <v>0</v>
      </c>
      <c r="M83" s="349">
        <f>IF(A83&lt;='Eingabeblatt 1'!$D$18,SUM(G83:L83)+E83,"")</f>
        <v>-935042.2007691235</v>
      </c>
      <c r="N83" s="350">
        <f>IF(A83&lt;='Eingabeblatt 1'!$D$18,(E83+G83+H83+I83+J83+K83+L83)/(1+'Eingabeblatt 1'!$D$19)^D83,"")</f>
        <v>-561562.11522427446</v>
      </c>
      <c r="O83" s="350">
        <f>IF(A83&lt;='Eingabeblatt 1'!$D$18,O82+N83,"")</f>
        <v>-45370920.013602957</v>
      </c>
      <c r="R83" s="351">
        <f>(((40-D83)/40*$Q$70))*('Eingabeblatt 1'!$D$20)+$Q$70/40</f>
        <v>101750.11000000002</v>
      </c>
      <c r="S83" s="351"/>
      <c r="T83" s="351">
        <f>(((30-D83)/30*$S$70))*('Eingabeblatt 1'!$D$20)+$S$70/30</f>
        <v>0</v>
      </c>
      <c r="U83" s="351"/>
      <c r="V83" s="351">
        <f>(((20-D83)/20*$U$70))*('Eingabeblatt 1'!$D$20)+$U$70/20</f>
        <v>606702.14325000008</v>
      </c>
      <c r="W83" s="351"/>
      <c r="X83" s="351">
        <f>(((10-D74)/10*$W$80))*('Eingabeblatt 1'!$D$20)+$W$80/10</f>
        <v>645078.39911478409</v>
      </c>
      <c r="Y83" s="354">
        <f t="shared" si="7"/>
        <v>1353530.6523647842</v>
      </c>
      <c r="AD83" s="342">
        <v>13</v>
      </c>
      <c r="AE83" s="352">
        <f t="shared" si="3"/>
        <v>-45370920.013602957</v>
      </c>
      <c r="AF83" s="352">
        <f t="shared" si="0"/>
        <v>-49206741.283911519</v>
      </c>
      <c r="AG83" s="352">
        <f t="shared" si="4"/>
        <v>-3835821.2703085616</v>
      </c>
      <c r="AH83" s="353">
        <f t="shared" si="1"/>
        <v>0</v>
      </c>
      <c r="AI83" s="342"/>
      <c r="AJ83" s="342"/>
      <c r="AK83" s="342">
        <f>IF(AE83&gt;0,IF(SUM(AK70:AK82)=0,AD83,0),0)</f>
        <v>0</v>
      </c>
      <c r="AL83" s="342">
        <f>IF(AF83&gt;0,IF(SUM(AL70:AL82)=0,AD83,0),0)</f>
        <v>0</v>
      </c>
      <c r="AO83" s="351">
        <f t="shared" si="8"/>
        <v>-2288572.853133908</v>
      </c>
      <c r="AP83" s="351">
        <f t="shared" si="2"/>
        <v>-2616435.2516950825</v>
      </c>
      <c r="AQ83" s="351">
        <f t="shared" si="5"/>
        <v>327862.39856117452</v>
      </c>
    </row>
    <row r="84" spans="1:43" s="341" customFormat="1" x14ac:dyDescent="0.3">
      <c r="A84" s="345">
        <v>14</v>
      </c>
      <c r="C84" s="346">
        <f>IF(A84&lt;='Eingabeblatt 1'!$D$18,C83+1,"")</f>
        <v>2032</v>
      </c>
      <c r="D84" s="345">
        <f>IF(A84&lt;='Eingabeblatt 1'!$D$18,D83+1,"")</f>
        <v>14</v>
      </c>
      <c r="E84" s="354">
        <f>IF(A84&lt;='Eingabeblatt 1'!$D$18,IF(D84='Eingabeblatt 1'!$D$65,-'Eingabeblatt 1'!$L$65*(1+'Eingabeblatt 1'!$J$65)^D84,IF(D84='Eingabeblatt 1'!$D$66,-'Eingabeblatt 1'!$L$66*(1+'Eingabeblatt 1'!$J$66)^D84,IF(D84='Eingabeblatt 1'!$D$67,-'Eingabeblatt 1'!$L$67*(1+'Eingabeblatt 1'!$J$67)^D84,0))),"")</f>
        <v>0</v>
      </c>
      <c r="F84" s="354">
        <f t="shared" si="6"/>
        <v>-1330046.0679877345</v>
      </c>
      <c r="G84" s="347">
        <f>IF(A84&lt;='Eingabeblatt 1'!$D$18,IF(D84='Eingabeblatt 1'!$D$72,-('Eingabeblatt 1'!$L$71+'Eingabeblatt 1'!$L$72)*(1+'Eingabeblatt 1'!$J$71)^'Zusammenfassung Ergebnis'!D84,-('Eingabeblatt 1'!$L$71)*(1+'Eingabeblatt 1'!$J$71)^'Zusammenfassung Ergebnis'!D84),"")</f>
        <v>-554181.08048640634</v>
      </c>
      <c r="H84" s="347">
        <f>IF(A84&lt;='Eingabeblatt 1'!$D$18,H83*(1+'Eingabeblatt 1'!$J$73),"")</f>
        <v>-420662.37611791189</v>
      </c>
      <c r="I84" s="347">
        <f>IF(A84&lt;='Eingabeblatt 1'!$D$18,(-'Eingabeblatt 1'!$L$75*(1+'Eingabeblatt 1'!$J$75)^'Zusammenfassung Ergebnis'!D84)-('Eingabeblatt 1'!$L$76*(1+'Eingabeblatt 1'!$J$76)^'Zusammenfassung Ergebnis'!D84)-('Eingabeblatt 1'!$L$77*(1+'Eingabeblatt 1'!$J$77)^'Zusammenfassung Ergebnis'!D84),"")</f>
        <v>-186768.54386044963</v>
      </c>
      <c r="J84" s="347">
        <f>IF(A83&lt;='Eingabeblatt 1'!$D$18,'Eingabeblatt 1'!$D$81*(1+'Eingabeblatt 1'!$J$81)^'Zusammenfassung Ergebnis'!D84)</f>
        <v>5747.3710661881132</v>
      </c>
      <c r="K84" s="348">
        <f>IF(A84&lt;='Eingabeblatt 1'!$D$18,'Eingabeblatt 1'!$L$15*(1+'Eingabeblatt 1'!$D$15)^D84,"")</f>
        <v>207801.17371233655</v>
      </c>
      <c r="L84" s="348">
        <f>IF(D84&lt;='Eingabeblatt 1'!$D$18,(SUMIFS('Eingabeblatt 2'!$Q$14:$Q$53,'Eingabeblatt 2'!$E$14:$E$53,'Zusammenfassung Ergebnis'!D84))*(1+'Eingabeblatt 1'!$J$65)^'Zusammenfassung Ergebnis'!D84,"")</f>
        <v>0</v>
      </c>
      <c r="M84" s="349">
        <f>IF(A84&lt;='Eingabeblatt 1'!$D$18,SUM(G84:L84)+E84,"")</f>
        <v>-948063.45568624313</v>
      </c>
      <c r="N84" s="350">
        <f>IF(A84&lt;='Eingabeblatt 1'!$D$18,(E84+G84+H84+I84+J84+K84+L84)/(1+'Eingabeblatt 1'!$D$19)^D84,"")</f>
        <v>-547483.0225927406</v>
      </c>
      <c r="O84" s="350">
        <f>IF(A84&lt;='Eingabeblatt 1'!$D$18,O83+N84,"")</f>
        <v>-45918403.036195695</v>
      </c>
      <c r="R84" s="351">
        <f>(((40-D84)/40*$Q$70))*('Eingabeblatt 1'!$D$20)+$Q$70/40</f>
        <v>100428.68</v>
      </c>
      <c r="S84" s="351"/>
      <c r="T84" s="351">
        <f>(((30-D84)/30*$S$70))*('Eingabeblatt 1'!$D$20)+$S$70/30</f>
        <v>0</v>
      </c>
      <c r="U84" s="351"/>
      <c r="V84" s="351">
        <f>(((20-D84)/20*$U$70))*('Eingabeblatt 1'!$D$20)+$U$70/20</f>
        <v>596058.24600000004</v>
      </c>
      <c r="W84" s="351"/>
      <c r="X84" s="351">
        <f>(((10-D75)/10*$W$80))*('Eingabeblatt 1'!$D$20)+$W$80/10</f>
        <v>633559.14198773447</v>
      </c>
      <c r="Y84" s="354">
        <f t="shared" si="7"/>
        <v>1330046.0679877345</v>
      </c>
      <c r="AD84" s="342">
        <v>14</v>
      </c>
      <c r="AE84" s="352">
        <f t="shared" si="3"/>
        <v>-45918403.036195695</v>
      </c>
      <c r="AF84" s="352">
        <f t="shared" si="0"/>
        <v>-49889391.22667814</v>
      </c>
      <c r="AG84" s="352">
        <f t="shared" si="4"/>
        <v>-3970988.1904824451</v>
      </c>
      <c r="AH84" s="353">
        <f t="shared" si="1"/>
        <v>0</v>
      </c>
      <c r="AI84" s="342"/>
      <c r="AJ84" s="342"/>
      <c r="AK84" s="342">
        <f>IF(AE84&gt;0,IF(SUM(AK70:AK83)=0,AD84,0),0)</f>
        <v>0</v>
      </c>
      <c r="AL84" s="342">
        <f>IF(AF84&gt;0,IF(SUM(AL70:AL83)=0,AD84,0),0)</f>
        <v>0</v>
      </c>
      <c r="AO84" s="351">
        <f t="shared" si="8"/>
        <v>-2278109.5236739777</v>
      </c>
      <c r="AP84" s="351">
        <f t="shared" si="2"/>
        <v>-2612301.2301602345</v>
      </c>
      <c r="AQ84" s="351">
        <f t="shared" si="5"/>
        <v>334191.70648625679</v>
      </c>
    </row>
    <row r="85" spans="1:43" s="341" customFormat="1" x14ac:dyDescent="0.3">
      <c r="A85" s="345">
        <v>15</v>
      </c>
      <c r="C85" s="346">
        <f>IF(A85&lt;='Eingabeblatt 1'!$D$18,C84+1,"")</f>
        <v>2033</v>
      </c>
      <c r="D85" s="345">
        <f>IF(A85&lt;='Eingabeblatt 1'!$D$18,D84+1,"")</f>
        <v>15</v>
      </c>
      <c r="E85" s="354">
        <f>IF(A85&lt;='Eingabeblatt 1'!$D$18,IF(D85='Eingabeblatt 1'!$D$65,-'Eingabeblatt 1'!$L$65*(1+'Eingabeblatt 1'!$J$65)^D85,IF(D85='Eingabeblatt 1'!$D$66,-'Eingabeblatt 1'!$L$66*(1+'Eingabeblatt 1'!$J$66)^D85,IF(D85='Eingabeblatt 1'!$D$67,-'Eingabeblatt 1'!$L$67*(1+'Eingabeblatt 1'!$J$67)^D85,0))),"")</f>
        <v>0</v>
      </c>
      <c r="F85" s="354">
        <f t="shared" si="6"/>
        <v>-1306561.4836106848</v>
      </c>
      <c r="G85" s="347">
        <f>IF(A85&lt;='Eingabeblatt 1'!$D$18,IF(D85='Eingabeblatt 1'!$D$72,-('Eingabeblatt 1'!$L$71+'Eingabeblatt 1'!$L$72)*(1+'Eingabeblatt 1'!$J$71)^'Zusammenfassung Ergebnis'!D85,-('Eingabeblatt 1'!$L$71)*(1+'Eingabeblatt 1'!$J$71)^'Zusammenfassung Ergebnis'!D85),"")</f>
        <v>-565264.70209613431</v>
      </c>
      <c r="H85" s="347">
        <f>IF(A85&lt;='Eingabeblatt 1'!$D$18,H84*(1+'Eingabeblatt 1'!$J$73),"")</f>
        <v>-430127.27958056488</v>
      </c>
      <c r="I85" s="347">
        <f>IF(A85&lt;='Eingabeblatt 1'!$D$18,(-'Eingabeblatt 1'!$L$75*(1+'Eingabeblatt 1'!$J$75)^'Zusammenfassung Ergebnis'!D85)-('Eingabeblatt 1'!$L$76*(1+'Eingabeblatt 1'!$J$76)^'Zusammenfassung Ergebnis'!D85)-('Eingabeblatt 1'!$L$77*(1+'Eingabeblatt 1'!$J$77)^'Zusammenfassung Ergebnis'!D85),"")</f>
        <v>-187721.05404097479</v>
      </c>
      <c r="J85" s="347">
        <f>IF(A84&lt;='Eingabeblatt 1'!$D$18,'Eingabeblatt 1'!$D$81*(1+'Eingabeblatt 1'!$J$81)^'Zusammenfassung Ergebnis'!D85)</f>
        <v>5804.8447768499918</v>
      </c>
      <c r="K85" s="348">
        <f>IF(A85&lt;='Eingabeblatt 1'!$D$18,'Eingabeblatt 1'!$L$15*(1+'Eingabeblatt 1'!$D$15)^D85,"")</f>
        <v>216113.22066083</v>
      </c>
      <c r="L85" s="348">
        <f>IF(D85&lt;='Eingabeblatt 1'!$D$18,(SUMIFS('Eingabeblatt 2'!$Q$14:$Q$53,'Eingabeblatt 2'!$E$14:$E$53,'Zusammenfassung Ergebnis'!D85))*(1+'Eingabeblatt 1'!$J$65)^'Zusammenfassung Ergebnis'!D85,"")</f>
        <v>0</v>
      </c>
      <c r="M85" s="349">
        <f>IF(A85&lt;='Eingabeblatt 1'!$D$18,SUM(G85:L85)+E85,"")</f>
        <v>-961194.97027999384</v>
      </c>
      <c r="N85" s="350">
        <f>IF(A85&lt;='Eingabeblatt 1'!$D$18,(E85+G85+H85+I85+J85+K85+L85)/(1+'Eingabeblatt 1'!$D$19)^D85,"")</f>
        <v>-533717.44718302169</v>
      </c>
      <c r="O85" s="350">
        <f>IF(A85&lt;='Eingabeblatt 1'!$D$18,O84+N85,"")</f>
        <v>-46452120.483378716</v>
      </c>
      <c r="R85" s="351">
        <f>(((40-D85)/40*$Q$70))*('Eingabeblatt 1'!$D$20)+$Q$70/40</f>
        <v>99107.25</v>
      </c>
      <c r="S85" s="351"/>
      <c r="T85" s="351">
        <f>(((30-D85)/30*$S$70))*('Eingabeblatt 1'!$D$20)+$S$70/30</f>
        <v>0</v>
      </c>
      <c r="U85" s="351"/>
      <c r="V85" s="351">
        <f>(((20-D85)/20*$U$70))*('Eingabeblatt 1'!$D$20)+$U$70/20</f>
        <v>585414.34875</v>
      </c>
      <c r="W85" s="351"/>
      <c r="X85" s="351">
        <f>(((10-D76)/10*$W$80))*('Eingabeblatt 1'!$D$20)+$W$80/10</f>
        <v>622039.88486068475</v>
      </c>
      <c r="Y85" s="354">
        <f t="shared" si="7"/>
        <v>1306561.4836106848</v>
      </c>
      <c r="AD85" s="342">
        <v>15</v>
      </c>
      <c r="AE85" s="352">
        <f t="shared" si="3"/>
        <v>-46452120.483378716</v>
      </c>
      <c r="AF85" s="352">
        <f t="shared" si="0"/>
        <v>-50557766.908729658</v>
      </c>
      <c r="AG85" s="352">
        <f t="shared" si="4"/>
        <v>-4105646.4253509417</v>
      </c>
      <c r="AH85" s="353">
        <f t="shared" si="1"/>
        <v>0</v>
      </c>
      <c r="AI85" s="342"/>
      <c r="AJ85" s="342"/>
      <c r="AK85" s="342">
        <f>IF(AE85&gt;0,IF(SUM(AK70:AK84)=0,AD85,0),0)</f>
        <v>0</v>
      </c>
      <c r="AL85" s="342">
        <f>IF(AF85&gt;0,IF(SUM(AL70:AL84)=0,AD85,0),0)</f>
        <v>0</v>
      </c>
      <c r="AO85" s="351">
        <f t="shared" si="8"/>
        <v>-2267756.4538906785</v>
      </c>
      <c r="AP85" s="351">
        <f t="shared" si="2"/>
        <v>-2608594.331919414</v>
      </c>
      <c r="AQ85" s="351">
        <f t="shared" si="5"/>
        <v>340837.87802873552</v>
      </c>
    </row>
    <row r="86" spans="1:43" s="341" customFormat="1" x14ac:dyDescent="0.3">
      <c r="A86" s="345">
        <v>16</v>
      </c>
      <c r="C86" s="346">
        <f>IF(A86&lt;='Eingabeblatt 1'!$D$18,C85+1,"")</f>
        <v>2034</v>
      </c>
      <c r="D86" s="345">
        <f>IF(A86&lt;='Eingabeblatt 1'!$D$18,D85+1,"")</f>
        <v>16</v>
      </c>
      <c r="E86" s="354">
        <f>IF(A86&lt;='Eingabeblatt 1'!$D$18,IF(D86='Eingabeblatt 1'!$D$65,-'Eingabeblatt 1'!$L$65*(1+'Eingabeblatt 1'!$J$65)^D86,IF(D86='Eingabeblatt 1'!$D$66,-'Eingabeblatt 1'!$L$66*(1+'Eingabeblatt 1'!$J$66)^D86,IF(D86='Eingabeblatt 1'!$D$67,-'Eingabeblatt 1'!$L$67*(1+'Eingabeblatt 1'!$J$67)^D86,0))),"")</f>
        <v>0</v>
      </c>
      <c r="F86" s="354">
        <f t="shared" si="6"/>
        <v>-1283076.899233635</v>
      </c>
      <c r="G86" s="347">
        <f>IF(A86&lt;='Eingabeblatt 1'!$D$18,IF(D86='Eingabeblatt 1'!$D$72,-('Eingabeblatt 1'!$L$71+'Eingabeblatt 1'!$L$72)*(1+'Eingabeblatt 1'!$J$71)^'Zusammenfassung Ergebnis'!D86,-('Eingabeblatt 1'!$L$71)*(1+'Eingabeblatt 1'!$J$71)^'Zusammenfassung Ergebnis'!D86),"")</f>
        <v>-576569.99613805709</v>
      </c>
      <c r="H86" s="347">
        <f>IF(A86&lt;='Eingabeblatt 1'!$D$18,H85*(1+'Eingabeblatt 1'!$J$73),"")</f>
        <v>-439805.14337112755</v>
      </c>
      <c r="I86" s="347">
        <f>IF(A86&lt;='Eingabeblatt 1'!$D$18,(-'Eingabeblatt 1'!$L$75*(1+'Eingabeblatt 1'!$J$75)^'Zusammenfassung Ergebnis'!D86)-('Eingabeblatt 1'!$L$76*(1+'Eingabeblatt 1'!$J$76)^'Zusammenfassung Ergebnis'!D86)-('Eingabeblatt 1'!$L$77*(1+'Eingabeblatt 1'!$J$77)^'Zusammenfassung Ergebnis'!D86),"")</f>
        <v>-188678.51344701488</v>
      </c>
      <c r="J86" s="347">
        <f>IF(A85&lt;='Eingabeblatt 1'!$D$18,'Eingabeblatt 1'!$D$81*(1+'Eingabeblatt 1'!$J$81)^'Zusammenfassung Ergebnis'!D86)</f>
        <v>5862.8932246184941</v>
      </c>
      <c r="K86" s="348">
        <f>IF(A86&lt;='Eingabeblatt 1'!$D$18,'Eingabeblatt 1'!$L$15*(1+'Eingabeblatt 1'!$D$15)^D86,"")</f>
        <v>224757.74948726324</v>
      </c>
      <c r="L86" s="348">
        <f>IF(D86&lt;='Eingabeblatt 1'!$D$18,(SUMIFS('Eingabeblatt 2'!$Q$14:$Q$53,'Eingabeblatt 2'!$E$14:$E$53,'Zusammenfassung Ergebnis'!D86))*(1+'Eingabeblatt 1'!$J$65)^'Zusammenfassung Ergebnis'!D86,"")</f>
        <v>0</v>
      </c>
      <c r="M86" s="349">
        <f>IF(A86&lt;='Eingabeblatt 1'!$D$18,SUM(G86:L86)+E86,"")</f>
        <v>-974433.01024431793</v>
      </c>
      <c r="N86" s="350">
        <f>IF(A86&lt;='Eingabeblatt 1'!$D$18,(E86+G86+H86+I86+J86+K86+L86)/(1+'Eingabeblatt 1'!$D$19)^D86,"")</f>
        <v>-520257.75082760624</v>
      </c>
      <c r="O86" s="350">
        <f>IF(A86&lt;='Eingabeblatt 1'!$D$18,O85+N86,"")</f>
        <v>-46972378.234206319</v>
      </c>
      <c r="R86" s="351">
        <f>(((40-D86)/40*$Q$70))*('Eingabeblatt 1'!$D$20)+$Q$70/40</f>
        <v>97785.82</v>
      </c>
      <c r="S86" s="351"/>
      <c r="T86" s="351">
        <f>(((30-D86)/30*$S$70))*('Eingabeblatt 1'!$D$20)+$S$70/30</f>
        <v>0</v>
      </c>
      <c r="U86" s="351"/>
      <c r="V86" s="351">
        <f>(((20-D86)/20*$U$70))*('Eingabeblatt 1'!$D$20)+$U$70/20</f>
        <v>574770.45150000008</v>
      </c>
      <c r="W86" s="351"/>
      <c r="X86" s="351">
        <f>(((10-D77)/10*$W$80))*('Eingabeblatt 1'!$D$20)+$W$80/10</f>
        <v>610520.62773363502</v>
      </c>
      <c r="Y86" s="354">
        <f t="shared" si="7"/>
        <v>1283076.899233635</v>
      </c>
      <c r="AD86" s="342">
        <v>16</v>
      </c>
      <c r="AE86" s="352">
        <f t="shared" si="3"/>
        <v>-46972378.234206319</v>
      </c>
      <c r="AF86" s="352">
        <f t="shared" si="0"/>
        <v>-51212189.340011157</v>
      </c>
      <c r="AG86" s="352">
        <f t="shared" si="4"/>
        <v>-4239811.1058048382</v>
      </c>
      <c r="AH86" s="353">
        <f t="shared" si="1"/>
        <v>0</v>
      </c>
      <c r="AI86" s="342"/>
      <c r="AJ86" s="342"/>
      <c r="AK86" s="342">
        <f>IF(AE86&gt;0,IF(SUM(AK70:AK85)=0,AD86,0),0)</f>
        <v>0</v>
      </c>
      <c r="AL86" s="342">
        <f>IF(AF86&gt;0,IF(SUM(AL70:AL85)=0,AD86,0),0)</f>
        <v>0</v>
      </c>
      <c r="AO86" s="351">
        <f t="shared" si="8"/>
        <v>-2257509.9094779533</v>
      </c>
      <c r="AP86" s="351">
        <f t="shared" si="2"/>
        <v>-2605323.5144395363</v>
      </c>
      <c r="AQ86" s="351">
        <f t="shared" si="5"/>
        <v>347813.60496158293</v>
      </c>
    </row>
    <row r="87" spans="1:43" s="341" customFormat="1" ht="14.25" customHeight="1" x14ac:dyDescent="0.3">
      <c r="A87" s="345">
        <v>17</v>
      </c>
      <c r="C87" s="346">
        <f>IF(A87&lt;='Eingabeblatt 1'!$D$18,C86+1,"")</f>
        <v>2035</v>
      </c>
      <c r="D87" s="345">
        <f>IF(A87&lt;='Eingabeblatt 1'!$D$18,D86+1,"")</f>
        <v>17</v>
      </c>
      <c r="E87" s="354">
        <f>IF(A87&lt;='Eingabeblatt 1'!$D$18,IF(D87='Eingabeblatt 1'!$D$65,-'Eingabeblatt 1'!$L$65*(1+'Eingabeblatt 1'!$J$65)^D87,IF(D87='Eingabeblatt 1'!$D$66,-'Eingabeblatt 1'!$L$66*(1+'Eingabeblatt 1'!$J$66)^D87,IF(D87='Eingabeblatt 1'!$D$67,-'Eingabeblatt 1'!$L$67*(1+'Eingabeblatt 1'!$J$67)^D87,0))),"")</f>
        <v>0</v>
      </c>
      <c r="F87" s="354">
        <f t="shared" si="6"/>
        <v>-1259592.3148565853</v>
      </c>
      <c r="G87" s="347">
        <f>IF(A87&lt;='Eingabeblatt 1'!$D$18,IF(D87='Eingabeblatt 1'!$D$72,-('Eingabeblatt 1'!$L$71+'Eingabeblatt 1'!$L$72)*(1+'Eingabeblatt 1'!$J$71)^'Zusammenfassung Ergebnis'!D87,-('Eingabeblatt 1'!$L$71)*(1+'Eingabeblatt 1'!$J$71)^'Zusammenfassung Ergebnis'!D87),"")</f>
        <v>-588101.39606081822</v>
      </c>
      <c r="H87" s="347">
        <f>IF(A87&lt;='Eingabeblatt 1'!$D$18,H86*(1+'Eingabeblatt 1'!$J$73),"")</f>
        <v>-449700.75909697788</v>
      </c>
      <c r="I87" s="347">
        <f>IF(A87&lt;='Eingabeblatt 1'!$D$18,(-'Eingabeblatt 1'!$L$75*(1+'Eingabeblatt 1'!$J$75)^'Zusammenfassung Ergebnis'!D87)-('Eingabeblatt 1'!$L$76*(1+'Eingabeblatt 1'!$J$76)^'Zusammenfassung Ergebnis'!D87)-('Eingabeblatt 1'!$L$77*(1+'Eingabeblatt 1'!$J$77)^'Zusammenfassung Ergebnis'!D87),"")</f>
        <v>-189640.94869144348</v>
      </c>
      <c r="J87" s="347">
        <f>IF(A86&lt;='Eingabeblatt 1'!$D$18,'Eingabeblatt 1'!$D$81*(1+'Eingabeblatt 1'!$J$81)^'Zusammenfassung Ergebnis'!D87)</f>
        <v>5921.5221568646793</v>
      </c>
      <c r="K87" s="348">
        <f>IF(A87&lt;='Eingabeblatt 1'!$D$18,'Eingabeblatt 1'!$L$15*(1+'Eingabeblatt 1'!$D$15)^D87,"")</f>
        <v>233748.0594667538</v>
      </c>
      <c r="L87" s="348">
        <f>IF(D87&lt;='Eingabeblatt 1'!$D$18,(SUMIFS('Eingabeblatt 2'!$Q$14:$Q$53,'Eingabeblatt 2'!$E$14:$E$53,'Zusammenfassung Ergebnis'!D87))*(1+'Eingabeblatt 1'!$J$65)^'Zusammenfassung Ergebnis'!D87,"")</f>
        <v>0</v>
      </c>
      <c r="M87" s="349">
        <f>IF(A87&lt;='Eingabeblatt 1'!$D$18,SUM(G87:L87)+E87,"")</f>
        <v>-987773.52222562116</v>
      </c>
      <c r="N87" s="350">
        <f>IF(A87&lt;='Eingabeblatt 1'!$D$18,(E87+G87+H87+I87+J87+K87+L87)/(1+'Eingabeblatt 1'!$D$19)^D87,"")</f>
        <v>-507096.49927140283</v>
      </c>
      <c r="O87" s="350">
        <f>IF(A87&lt;='Eingabeblatt 1'!$D$18,O86+N87,"")</f>
        <v>-47479474.733477719</v>
      </c>
      <c r="R87" s="351">
        <f>(((40-D87)/40*$Q$70))*('Eingabeblatt 1'!$D$20)+$Q$70/40</f>
        <v>96464.39</v>
      </c>
      <c r="S87" s="351"/>
      <c r="T87" s="351">
        <f>(((30-D87)/30*$S$70))*('Eingabeblatt 1'!$D$20)+$S$70/30</f>
        <v>0</v>
      </c>
      <c r="U87" s="351"/>
      <c r="V87" s="351">
        <f>(((20-D87)/20*$U$70))*('Eingabeblatt 1'!$D$20)+$U$70/20</f>
        <v>564126.55425000004</v>
      </c>
      <c r="W87" s="351"/>
      <c r="X87" s="351">
        <f>(((10-D78)/10*$W$80))*('Eingabeblatt 1'!$D$20)+$W$80/10</f>
        <v>599001.37060658529</v>
      </c>
      <c r="Y87" s="354">
        <f t="shared" si="7"/>
        <v>1259592.3148565853</v>
      </c>
      <c r="AD87" s="342">
        <v>17</v>
      </c>
      <c r="AE87" s="352">
        <f t="shared" si="3"/>
        <v>-47479474.733477719</v>
      </c>
      <c r="AF87" s="352">
        <f t="shared" si="0"/>
        <v>-51852971.69474978</v>
      </c>
      <c r="AG87" s="352">
        <f t="shared" si="4"/>
        <v>-4373496.9612720609</v>
      </c>
      <c r="AH87" s="353">
        <f t="shared" si="1"/>
        <v>0</v>
      </c>
      <c r="AI87" s="342"/>
      <c r="AJ87" s="342"/>
      <c r="AK87" s="342">
        <f>IF(AE87&gt;0,IF(SUM(AK70:AK86)=0,AD87,0),0)</f>
        <v>0</v>
      </c>
      <c r="AL87" s="342">
        <f>IF(AF87&gt;0,IF(SUM(AL70:AL86)=0,AD87,0),0)</f>
        <v>0</v>
      </c>
      <c r="AO87" s="351">
        <f t="shared" si="8"/>
        <v>-2247365.8370822063</v>
      </c>
      <c r="AP87" s="351">
        <f t="shared" si="2"/>
        <v>-2602497.9259812874</v>
      </c>
      <c r="AQ87" s="351">
        <f t="shared" si="5"/>
        <v>355132.08889908111</v>
      </c>
    </row>
    <row r="88" spans="1:43" s="341" customFormat="1" ht="14.25" customHeight="1" x14ac:dyDescent="0.3">
      <c r="A88" s="345">
        <v>18</v>
      </c>
      <c r="C88" s="346">
        <f>IF(A88&lt;='Eingabeblatt 1'!$D$18,C87+1,"")</f>
        <v>2036</v>
      </c>
      <c r="D88" s="345">
        <f>IF(A88&lt;='Eingabeblatt 1'!$D$18,D87+1,"")</f>
        <v>18</v>
      </c>
      <c r="E88" s="354">
        <f>IF(A88&lt;='Eingabeblatt 1'!$D$18,IF(D88='Eingabeblatt 1'!$D$65,-'Eingabeblatt 1'!$L$65*(1+'Eingabeblatt 1'!$J$65)^D88,IF(D88='Eingabeblatt 1'!$D$66,-'Eingabeblatt 1'!$L$66*(1+'Eingabeblatt 1'!$J$66)^D88,IF(D88='Eingabeblatt 1'!$D$67,-'Eingabeblatt 1'!$L$67*(1+'Eingabeblatt 1'!$J$67)^D88,0))),"")</f>
        <v>0</v>
      </c>
      <c r="F88" s="354">
        <f t="shared" si="6"/>
        <v>-1236107.7304795356</v>
      </c>
      <c r="G88" s="347">
        <f>IF(A88&lt;='Eingabeblatt 1'!$D$18,IF(D88='Eingabeblatt 1'!$D$72,-('Eingabeblatt 1'!$L$71+'Eingabeblatt 1'!$L$72)*(1+'Eingabeblatt 1'!$J$71)^'Zusammenfassung Ergebnis'!D88,-('Eingabeblatt 1'!$L$71)*(1+'Eingabeblatt 1'!$J$71)^'Zusammenfassung Ergebnis'!D88),"")</f>
        <v>-599863.42398203455</v>
      </c>
      <c r="H88" s="347">
        <f>IF(A88&lt;='Eingabeblatt 1'!$D$18,H87*(1+'Eingabeblatt 1'!$J$73),"")</f>
        <v>-459819.02617665986</v>
      </c>
      <c r="I88" s="347">
        <f>IF(A88&lt;='Eingabeblatt 1'!$D$18,(-'Eingabeblatt 1'!$L$75*(1+'Eingabeblatt 1'!$J$75)^'Zusammenfassung Ergebnis'!D88)-('Eingabeblatt 1'!$L$76*(1+'Eingabeblatt 1'!$J$76)^'Zusammenfassung Ergebnis'!D88)-('Eingabeblatt 1'!$L$77*(1+'Eingabeblatt 1'!$J$77)^'Zusammenfassung Ergebnis'!D88),"")</f>
        <v>-190608.38653886615</v>
      </c>
      <c r="J88" s="347">
        <f>IF(A87&lt;='Eingabeblatt 1'!$D$18,'Eingabeblatt 1'!$D$81*(1+'Eingabeblatt 1'!$J$81)^'Zusammenfassung Ergebnis'!D88)</f>
        <v>5980.7373784333258</v>
      </c>
      <c r="K88" s="348">
        <f>IF(A88&lt;='Eingabeblatt 1'!$D$18,'Eingabeblatt 1'!$L$15*(1+'Eingabeblatt 1'!$D$15)^D88,"")</f>
        <v>243097.98184542396</v>
      </c>
      <c r="L88" s="348">
        <f>IF(D88&lt;='Eingabeblatt 1'!$D$18,(SUMIFS('Eingabeblatt 2'!$Q$14:$Q$53,'Eingabeblatt 2'!$E$14:$E$53,'Zusammenfassung Ergebnis'!D88))*(1+'Eingabeblatt 1'!$J$65)^'Zusammenfassung Ergebnis'!D88,"")</f>
        <v>0</v>
      </c>
      <c r="M88" s="349">
        <f>IF(A88&lt;='Eingabeblatt 1'!$D$18,SUM(G88:L88)+E88,"")</f>
        <v>-1001212.1174737032</v>
      </c>
      <c r="N88" s="350">
        <f>IF(A88&lt;='Eingabeblatt 1'!$D$18,(E88+G88+H88+I88+J88+K88+L88)/(1+'Eingabeblatt 1'!$D$19)^D88,"")</f>
        <v>-494226.45628230658</v>
      </c>
      <c r="O88" s="350">
        <f>IF(A88&lt;='Eingabeblatt 1'!$D$18,O87+N88,"")</f>
        <v>-47973701.189760029</v>
      </c>
      <c r="R88" s="351">
        <f>(((40-D88)/40*$Q$70))*('Eingabeblatt 1'!$D$20)+$Q$70/40</f>
        <v>95142.96</v>
      </c>
      <c r="S88" s="351"/>
      <c r="T88" s="351">
        <f>(((30-D88)/30*$S$70))*('Eingabeblatt 1'!$D$20)+$S$70/30</f>
        <v>0</v>
      </c>
      <c r="U88" s="351"/>
      <c r="V88" s="351">
        <f>(((20-D88)/20*$U$70))*('Eingabeblatt 1'!$D$20)+$U$70/20</f>
        <v>553482.65700000001</v>
      </c>
      <c r="W88" s="351"/>
      <c r="X88" s="351">
        <f>(((10-D79)/10*$W$80))*('Eingabeblatt 1'!$D$20)+$W$80/10</f>
        <v>587482.11347953556</v>
      </c>
      <c r="Y88" s="354">
        <f t="shared" si="7"/>
        <v>1236107.7304795356</v>
      </c>
      <c r="AD88" s="342">
        <v>18</v>
      </c>
      <c r="AE88" s="352">
        <f t="shared" si="3"/>
        <v>-47973701.189760029</v>
      </c>
      <c r="AF88" s="352">
        <f t="shared" si="0"/>
        <v>-52480419.518690363</v>
      </c>
      <c r="AG88" s="352">
        <f t="shared" si="4"/>
        <v>-4506718.3289303333</v>
      </c>
      <c r="AH88" s="353">
        <f t="shared" si="1"/>
        <v>0</v>
      </c>
      <c r="AI88" s="342"/>
      <c r="AJ88" s="342"/>
      <c r="AK88" s="342">
        <f>IF(AE88&gt;0,IF(SUM(AK70:AK87)=0,AD88,0),0)</f>
        <v>0</v>
      </c>
      <c r="AL88" s="342">
        <f>IF(AF88&gt;0,IF(SUM(AL70:AL87)=0,AD88,0),0)</f>
        <v>0</v>
      </c>
      <c r="AO88" s="351">
        <f t="shared" si="8"/>
        <v>-2237319.8479532385</v>
      </c>
      <c r="AP88" s="351">
        <f t="shared" si="2"/>
        <v>-2600126.9096954707</v>
      </c>
      <c r="AQ88" s="351">
        <f t="shared" si="5"/>
        <v>362807.06174223218</v>
      </c>
    </row>
    <row r="89" spans="1:43" s="341" customFormat="1" ht="14.25" customHeight="1" x14ac:dyDescent="0.3">
      <c r="A89" s="345">
        <v>19</v>
      </c>
      <c r="C89" s="346">
        <f>IF(A89&lt;='Eingabeblatt 1'!$D$18,C88+1,"")</f>
        <v>2037</v>
      </c>
      <c r="D89" s="345">
        <f>IF(A89&lt;='Eingabeblatt 1'!$D$18,D88+1,"")</f>
        <v>19</v>
      </c>
      <c r="E89" s="354">
        <f>IF(A89&lt;='Eingabeblatt 1'!$D$18,IF(D89='Eingabeblatt 1'!$D$65,-'Eingabeblatt 1'!$L$65*(1+'Eingabeblatt 1'!$J$65)^D89,IF(D89='Eingabeblatt 1'!$D$66,-'Eingabeblatt 1'!$L$66*(1+'Eingabeblatt 1'!$J$66)^D89,IF(D89='Eingabeblatt 1'!$D$67,-'Eingabeblatt 1'!$L$67*(1+'Eingabeblatt 1'!$J$67)^D89,0))),"")</f>
        <v>0</v>
      </c>
      <c r="F89" s="354">
        <f t="shared" si="6"/>
        <v>-1212623.1461024859</v>
      </c>
      <c r="G89" s="347">
        <f>IF(A89&lt;='Eingabeblatt 1'!$D$18,IF(D89='Eingabeblatt 1'!$D$72,-('Eingabeblatt 1'!$L$71+'Eingabeblatt 1'!$L$72)*(1+'Eingabeblatt 1'!$J$71)^'Zusammenfassung Ergebnis'!D89,-('Eingabeblatt 1'!$L$71)*(1+'Eingabeblatt 1'!$J$71)^'Zusammenfassung Ergebnis'!D89),"")</f>
        <v>-611860.69246167527</v>
      </c>
      <c r="H89" s="347">
        <f>IF(A89&lt;='Eingabeblatt 1'!$D$18,H88*(1+'Eingabeblatt 1'!$J$73),"")</f>
        <v>-470164.9542656347</v>
      </c>
      <c r="I89" s="347">
        <f>IF(A89&lt;='Eingabeblatt 1'!$D$18,(-'Eingabeblatt 1'!$L$75*(1+'Eingabeblatt 1'!$J$75)^'Zusammenfassung Ergebnis'!D89)-('Eingabeblatt 1'!$L$76*(1+'Eingabeblatt 1'!$J$76)^'Zusammenfassung Ergebnis'!D89)-('Eingabeblatt 1'!$L$77*(1+'Eingabeblatt 1'!$J$77)^'Zusammenfassung Ergebnis'!D89),"")</f>
        <v>-191580.85390656564</v>
      </c>
      <c r="J89" s="347">
        <f>IF(A88&lt;='Eingabeblatt 1'!$D$18,'Eingabeblatt 1'!$D$81*(1+'Eingabeblatt 1'!$J$81)^'Zusammenfassung Ergebnis'!D89)</f>
        <v>6040.5447522176582</v>
      </c>
      <c r="K89" s="348">
        <f>IF(A89&lt;='Eingabeblatt 1'!$D$18,'Eingabeblatt 1'!$L$15*(1+'Eingabeblatt 1'!$D$15)^D89,"")</f>
        <v>252821.90111924091</v>
      </c>
      <c r="L89" s="348">
        <f>IF(D89&lt;='Eingabeblatt 1'!$D$18,(SUMIFS('Eingabeblatt 2'!$Q$14:$Q$53,'Eingabeblatt 2'!$E$14:$E$53,'Zusammenfassung Ergebnis'!D89))*(1+'Eingabeblatt 1'!$J$65)^'Zusammenfassung Ergebnis'!D89,"")</f>
        <v>0</v>
      </c>
      <c r="M89" s="349">
        <f>IF(A89&lt;='Eingabeblatt 1'!$D$18,SUM(G89:L89)+E89,"")</f>
        <v>-1014744.0547624171</v>
      </c>
      <c r="N89" s="350">
        <f>IF(A89&lt;='Eingabeblatt 1'!$D$18,(E89+G89+H89+I89+J89+K89+L89)/(1+'Eingabeblatt 1'!$D$19)^D89,"")</f>
        <v>-481640.57794209366</v>
      </c>
      <c r="O89" s="350">
        <f>IF(A89&lt;='Eingabeblatt 1'!$D$18,O88+N89,"")</f>
        <v>-48455341.767702125</v>
      </c>
      <c r="R89" s="351">
        <f>(((40-D89)/40*$Q$70))*('Eingabeblatt 1'!$D$20)+$Q$70/40</f>
        <v>93821.53</v>
      </c>
      <c r="S89" s="351"/>
      <c r="T89" s="351">
        <f>(((30-D89)/30*$S$70))*('Eingabeblatt 1'!$D$20)+$S$70/30</f>
        <v>0</v>
      </c>
      <c r="U89" s="351"/>
      <c r="V89" s="351">
        <f>(((20-D89)/20*$U$70))*('Eingabeblatt 1'!$D$20)+$U$70/20</f>
        <v>542838.75975000008</v>
      </c>
      <c r="W89" s="351"/>
      <c r="X89" s="351">
        <f>(((10-D80)/10*$W$80))*('Eingabeblatt 1'!$D$20)+$W$80/10</f>
        <v>575962.85635248583</v>
      </c>
      <c r="Y89" s="354">
        <f t="shared" si="7"/>
        <v>1212623.1461024859</v>
      </c>
      <c r="AD89" s="342">
        <v>19</v>
      </c>
      <c r="AE89" s="352">
        <f t="shared" si="3"/>
        <v>-48455341.767702125</v>
      </c>
      <c r="AF89" s="352">
        <f t="shared" si="0"/>
        <v>-53094830.930462539</v>
      </c>
      <c r="AG89" s="352">
        <f t="shared" si="4"/>
        <v>-4639489.1627604142</v>
      </c>
      <c r="AH89" s="353">
        <f t="shared" si="1"/>
        <v>0</v>
      </c>
      <c r="AI89" s="342"/>
      <c r="AJ89" s="342"/>
      <c r="AK89" s="342">
        <f>IF(AE89&gt;0,IF(SUM(AK70:AK88)=0,AD89,0),0)</f>
        <v>0</v>
      </c>
      <c r="AL89" s="342">
        <f>IF(AF89&gt;0,IF(SUM(AL70:AL88)=0,AD89,0),0)</f>
        <v>0</v>
      </c>
      <c r="AO89" s="351">
        <f t="shared" si="8"/>
        <v>-2227367.2008649027</v>
      </c>
      <c r="AP89" s="351">
        <f t="shared" si="2"/>
        <v>-2598220.0078077507</v>
      </c>
      <c r="AQ89" s="351">
        <f t="shared" si="5"/>
        <v>370852.80694284802</v>
      </c>
    </row>
    <row r="90" spans="1:43" s="341" customFormat="1" ht="14.25" customHeight="1" x14ac:dyDescent="0.3">
      <c r="A90" s="345">
        <v>20</v>
      </c>
      <c r="C90" s="346">
        <f>IF(A90&lt;='Eingabeblatt 1'!$D$18,C89+1,"")</f>
        <v>2038</v>
      </c>
      <c r="D90" s="345">
        <f>IF(A90&lt;='Eingabeblatt 1'!$D$18,D89+1,"")</f>
        <v>20</v>
      </c>
      <c r="E90" s="354">
        <f>IF(A90&lt;='Eingabeblatt 1'!$D$18,IF(D90='Eingabeblatt 1'!$D$65,-'Eingabeblatt 1'!$L$65*(1+'Eingabeblatt 1'!$J$65)^D90,IF(D90='Eingabeblatt 1'!$D$66,-'Eingabeblatt 1'!$L$66*(1+'Eingabeblatt 1'!$J$66)^D90,IF(D90='Eingabeblatt 1'!$D$67,-'Eingabeblatt 1'!$L$67*(1+'Eingabeblatt 1'!$J$67)^D90,0))),"")</f>
        <v>-38590345.309077248</v>
      </c>
      <c r="F90" s="354">
        <f t="shared" si="6"/>
        <v>-2012295.5261783563</v>
      </c>
      <c r="G90" s="347">
        <f>IF(A90&lt;='Eingabeblatt 1'!$D$18,IF(D90='Eingabeblatt 1'!$D$72,-('Eingabeblatt 1'!$L$71+'Eingabeblatt 1'!$L$72)*(1+'Eingabeblatt 1'!$J$71)^'Zusammenfassung Ergebnis'!D90,-('Eingabeblatt 1'!$L$71)*(1+'Eingabeblatt 1'!$J$71)^'Zusammenfassung Ergebnis'!D90),"")</f>
        <v>-624097.90631090873</v>
      </c>
      <c r="H90" s="347">
        <f>IF(A90&lt;='Eingabeblatt 1'!$D$18,H89*(1+'Eingabeblatt 1'!$J$73),"")</f>
        <v>-480743.66573661147</v>
      </c>
      <c r="I90" s="347">
        <f>IF(A90&lt;='Eingabeblatt 1'!$D$18,(-'Eingabeblatt 1'!$L$75*(1+'Eingabeblatt 1'!$J$75)^'Zusammenfassung Ergebnis'!D90)-('Eingabeblatt 1'!$L$76*(1+'Eingabeblatt 1'!$J$76)^'Zusammenfassung Ergebnis'!D90)-('Eingabeblatt 1'!$L$77*(1+'Eingabeblatt 1'!$J$77)^'Zusammenfassung Ergebnis'!D90),"")</f>
        <v>-192558.37786545363</v>
      </c>
      <c r="J90" s="347">
        <f>IF(A89&lt;='Eingabeblatt 1'!$D$18,'Eingabeblatt 1'!$D$81*(1+'Eingabeblatt 1'!$J$81)^'Zusammenfassung Ergebnis'!D90)</f>
        <v>6100.9501997398356</v>
      </c>
      <c r="K90" s="348">
        <f>IF(A90&lt;='Eingabeblatt 1'!$D$18,'Eingabeblatt 1'!$L$15*(1+'Eingabeblatt 1'!$D$15)^D90,"")</f>
        <v>262934.77716401056</v>
      </c>
      <c r="L90" s="348">
        <f>IF(D90&lt;='Eingabeblatt 1'!$D$18,(SUMIFS('Eingabeblatt 2'!$Q$14:$Q$53,'Eingabeblatt 2'!$E$14:$E$53,'Zusammenfassung Ergebnis'!D90)+SUMIFS('Eingabeblatt 2'!$Q$14:$Q$53,'Eingabeblatt 2'!$E$14:$E$53,'Zusammenfassung Ergebnis'!D80))*(1+'Eingabeblatt 1'!$J$65)^'Zusammenfassung Ergebnis'!D90,"")</f>
        <v>901582.8649012855</v>
      </c>
      <c r="M90" s="349">
        <f>IF(A90&lt;='Eingabeblatt 1'!$D$18,SUM(G90:L90)+E90,"")</f>
        <v>-38717126.666725188</v>
      </c>
      <c r="N90" s="350">
        <f>IF(A90&lt;='Eingabeblatt 1'!$D$18,(E90+G90+H90+I90+J90+K90+L90)/(1+'Eingabeblatt 1'!$D$19)^D90,"")</f>
        <v>-17669991.205115318</v>
      </c>
      <c r="O90" s="350">
        <f>IF(A90&lt;='Eingabeblatt 1'!$D$18,O89+N90,"")</f>
        <v>-66125332.972817443</v>
      </c>
      <c r="R90" s="351">
        <f>(((40-D90)/40*$Q$70))*('Eingabeblatt 1'!$D$20)+$Q$70/40</f>
        <v>92500.1</v>
      </c>
      <c r="S90" s="351"/>
      <c r="T90" s="351">
        <f>(((30-D90)/30*$S$70))*('Eingabeblatt 1'!$D$20)+$S$70/30</f>
        <v>0</v>
      </c>
      <c r="U90" s="351">
        <f>(SUMIFS('Eingabeblatt 2'!O14:O36,'Eingabeblatt 2'!E14:E36,20))*(1+'Eingabeblatt 1'!J66)^'Zusammenfassung Ergebnis'!D90</f>
        <v>15816271.401698666</v>
      </c>
      <c r="V90" s="351">
        <f>(((20-D71)/20*$U$90))*('Eingabeblatt 1'!$D$20)+$U$90/20</f>
        <v>1091322.726717208</v>
      </c>
      <c r="W90" s="351">
        <f>(SUMIFS('Eingabeblatt 2'!O14:O36,'Eingabeblatt 2'!E14:E36,10))*(1+'Eingabeblatt 1'!J66)^'Zusammenfassung Ergebnis'!D90</f>
        <v>7020955.0801792201</v>
      </c>
      <c r="X90" s="351">
        <f>(((10-D71)/10*$W$90))*('Eingabeblatt 1'!$D$20)+$W$90/10</f>
        <v>828472.699461148</v>
      </c>
      <c r="Y90" s="354">
        <f t="shared" si="7"/>
        <v>2012295.5261783563</v>
      </c>
      <c r="AD90" s="342">
        <v>20</v>
      </c>
      <c r="AE90" s="352">
        <f t="shared" si="3"/>
        <v>-66125332.972817443</v>
      </c>
      <c r="AF90" s="352">
        <f t="shared" si="0"/>
        <v>-71115077.474777877</v>
      </c>
      <c r="AG90" s="352">
        <f t="shared" si="4"/>
        <v>-4989744.501960434</v>
      </c>
      <c r="AH90" s="353">
        <f t="shared" si="1"/>
        <v>0</v>
      </c>
      <c r="AI90" s="342"/>
      <c r="AJ90" s="342"/>
      <c r="AK90" s="342">
        <f>IF(AE90&gt;0,IF(SUM(AK70:AK89)=0,AD90,0),0)</f>
        <v>0</v>
      </c>
      <c r="AL90" s="342">
        <f>IF(AF90&gt;0,IF(SUM(AL70:AL89)=0,AD90,0),0)</f>
        <v>0</v>
      </c>
      <c r="AO90" s="351">
        <f t="shared" si="8"/>
        <v>-2139076.883826294</v>
      </c>
      <c r="AP90" s="351">
        <f>SUM(F136:L136)</f>
        <v>-3260611.9356160229</v>
      </c>
      <c r="AQ90" s="351">
        <f t="shared" si="5"/>
        <v>1121535.0517897289</v>
      </c>
    </row>
    <row r="91" spans="1:43" s="341" customFormat="1" ht="14.25" customHeight="1" x14ac:dyDescent="0.3">
      <c r="A91" s="345">
        <v>21</v>
      </c>
      <c r="C91" s="346">
        <f>IF(A91&lt;='Eingabeblatt 1'!$D$18,C90+1,"")</f>
        <v>2039</v>
      </c>
      <c r="D91" s="345">
        <f>IF(A91&lt;='Eingabeblatt 1'!$D$18,D90+1,"")</f>
        <v>21</v>
      </c>
      <c r="E91" s="354">
        <f>IF(A91&lt;='Eingabeblatt 1'!$D$18,IF(D91='Eingabeblatt 1'!$D$65,-'Eingabeblatt 1'!$L$65*(1+'Eingabeblatt 1'!$J$65)^D91,IF(D91='Eingabeblatt 1'!$D$66,-'Eingabeblatt 1'!$L$66*(1+'Eingabeblatt 1'!$J$66)^D91,IF(D91='Eingabeblatt 1'!$D$67,-'Eingabeblatt 1'!$L$67*(1+'Eingabeblatt 1'!$J$67)^D91,0))),"")</f>
        <v>0</v>
      </c>
      <c r="F91" s="354">
        <f t="shared" si="6"/>
        <v>-1981115.9146162989</v>
      </c>
      <c r="G91" s="347">
        <f>IF(A91&lt;='Eingabeblatt 1'!$D$18,IF(D91='Eingabeblatt 1'!$D$72,-('Eingabeblatt 1'!$L$71+'Eingabeblatt 1'!$L$72)*(1+'Eingabeblatt 1'!$J$71)^'Zusammenfassung Ergebnis'!D91,-('Eingabeblatt 1'!$L$71)*(1+'Eingabeblatt 1'!$J$71)^'Zusammenfassung Ergebnis'!D91),"")</f>
        <v>-636579.8644371269</v>
      </c>
      <c r="H91" s="347">
        <f>IF(A91&lt;='Eingabeblatt 1'!$D$18,H90*(1+'Eingabeblatt 1'!$J$73),"")</f>
        <v>-491560.39821568521</v>
      </c>
      <c r="I91" s="347">
        <f>IF(A91&lt;='Eingabeblatt 1'!$D$18,(-'Eingabeblatt 1'!$L$75*(1+'Eingabeblatt 1'!$J$75)^'Zusammenfassung Ergebnis'!D91)-('Eingabeblatt 1'!$L$76*(1+'Eingabeblatt 1'!$J$76)^'Zusammenfassung Ergebnis'!D91)-('Eingabeblatt 1'!$L$77*(1+'Eingabeblatt 1'!$J$77)^'Zusammenfassung Ergebnis'!D91),"")</f>
        <v>-193540.98564102963</v>
      </c>
      <c r="J91" s="347">
        <f>IF(A90&lt;='Eingabeblatt 1'!$D$18,'Eingabeblatt 1'!$D$81*(1+'Eingabeblatt 1'!$J$81)^'Zusammenfassung Ergebnis'!D91)</f>
        <v>6161.9597017372325</v>
      </c>
      <c r="K91" s="348">
        <f>IF(A91&lt;='Eingabeblatt 1'!$D$18,'Eingabeblatt 1'!$L$15*(1+'Eingabeblatt 1'!$D$15)^D91,"")</f>
        <v>273452.16825057106</v>
      </c>
      <c r="L91" s="348">
        <f>IF(D91&lt;='Eingabeblatt 1'!$D$18,(SUMIFS('Eingabeblatt 2'!$Q$14:$Q$53,'Eingabeblatt 2'!$E$14:$E$53,'Zusammenfassung Ergebnis'!D91))*(1+'Eingabeblatt 1'!$J$65)^'Zusammenfassung Ergebnis'!D91,"")</f>
        <v>0</v>
      </c>
      <c r="M91" s="349">
        <f>IF(A91&lt;='Eingabeblatt 1'!$D$18,SUM(G91:L91)+E91,"")</f>
        <v>-1042067.1203415336</v>
      </c>
      <c r="N91" s="350">
        <f>IF(A91&lt;='Eingabeblatt 1'!$D$18,(E91+G91+H91+I91+J91+K91+L91)/(1+'Eingabeblatt 1'!$D$19)^D91,"")</f>
        <v>-457294.06806677568</v>
      </c>
      <c r="O91" s="350">
        <f>IF(A91&lt;='Eingabeblatt 1'!$D$18,O90+N91,"")</f>
        <v>-66582627.040884219</v>
      </c>
      <c r="R91" s="351">
        <f>(((40-D91)/40*$Q$70))*('Eingabeblatt 1'!$D$20)+$Q$70/40</f>
        <v>91178.67</v>
      </c>
      <c r="S91" s="351"/>
      <c r="T91" s="351">
        <f>(((30-D91)/30*$S$70))*('Eingabeblatt 1'!$D$20)+$S$70/30</f>
        <v>0</v>
      </c>
      <c r="V91" s="351">
        <f>(((20-D72)/20*$U$90))*('Eingabeblatt 1'!$D$20)+$U$90/20</f>
        <v>1075506.4553155093</v>
      </c>
      <c r="W91" s="351"/>
      <c r="X91" s="351">
        <f>(((10-D72)/10*$W$90))*('Eingabeblatt 1'!$D$20)+$W$90/10</f>
        <v>814430.78930078959</v>
      </c>
      <c r="Y91" s="354">
        <f t="shared" si="7"/>
        <v>1981115.9146162989</v>
      </c>
      <c r="AD91" s="342">
        <v>21</v>
      </c>
      <c r="AE91" s="352">
        <f t="shared" si="3"/>
        <v>-66582627.040884219</v>
      </c>
      <c r="AF91" s="352">
        <f t="shared" si="0"/>
        <v>-71704281.682485282</v>
      </c>
      <c r="AG91" s="352">
        <f t="shared" si="4"/>
        <v>-5121654.6416010633</v>
      </c>
      <c r="AH91" s="353">
        <f t="shared" si="1"/>
        <v>0</v>
      </c>
      <c r="AI91" s="342"/>
      <c r="AJ91" s="342"/>
      <c r="AK91" s="342">
        <f>IF(AE91&gt;0,IF(SUM(AK70:AK90)=0,AD91,0),0)</f>
        <v>0</v>
      </c>
      <c r="AL91" s="342">
        <f>IF(AF91&gt;0,IF(SUM(AL70:AL90)=0,AD91,0),0)</f>
        <v>0</v>
      </c>
      <c r="AO91" s="351">
        <f t="shared" si="8"/>
        <v>-3023183.0349578322</v>
      </c>
      <c r="AP91" s="351">
        <f t="shared" si="2"/>
        <v>-3409891.6516446378</v>
      </c>
      <c r="AQ91" s="351">
        <f t="shared" si="5"/>
        <v>386708.61668680562</v>
      </c>
    </row>
    <row r="92" spans="1:43" s="341" customFormat="1" ht="14.25" customHeight="1" x14ac:dyDescent="0.3">
      <c r="A92" s="345">
        <v>22</v>
      </c>
      <c r="C92" s="346">
        <f>IF(A92&lt;='Eingabeblatt 1'!$D$18,C91+1,"")</f>
        <v>2040</v>
      </c>
      <c r="D92" s="345">
        <f>IF(A92&lt;='Eingabeblatt 1'!$D$18,D91+1,"")</f>
        <v>22</v>
      </c>
      <c r="E92" s="354">
        <f>IF(A92&lt;='Eingabeblatt 1'!$D$18,IF(D92='Eingabeblatt 1'!$D$65,-'Eingabeblatt 1'!$L$65*(1+'Eingabeblatt 1'!$J$65)^D92,IF(D92='Eingabeblatt 1'!$D$66,-'Eingabeblatt 1'!$L$66*(1+'Eingabeblatt 1'!$J$66)^D92,IF(D92='Eingabeblatt 1'!$D$67,-'Eingabeblatt 1'!$L$67*(1+'Eingabeblatt 1'!$J$67)^D92,0))),"")</f>
        <v>0</v>
      </c>
      <c r="F92" s="354">
        <f t="shared" si="6"/>
        <v>-1949936.3030542419</v>
      </c>
      <c r="G92" s="347">
        <f>IF(A92&lt;='Eingabeblatt 1'!$D$18,IF(D92='Eingabeblatt 1'!$D$72,-('Eingabeblatt 1'!$L$71+'Eingabeblatt 1'!$L$72)*(1+'Eingabeblatt 1'!$J$71)^'Zusammenfassung Ergebnis'!D92,-('Eingabeblatt 1'!$L$71)*(1+'Eingabeblatt 1'!$J$71)^'Zusammenfassung Ergebnis'!D92),"")</f>
        <v>-649311.46172586945</v>
      </c>
      <c r="H92" s="347">
        <f>IF(A92&lt;='Eingabeblatt 1'!$D$18,H91*(1+'Eingabeblatt 1'!$J$73),"")</f>
        <v>-502620.50717553811</v>
      </c>
      <c r="I92" s="347">
        <f>IF(A92&lt;='Eingabeblatt 1'!$D$18,(-'Eingabeblatt 1'!$L$75*(1+'Eingabeblatt 1'!$J$75)^'Zusammenfassung Ergebnis'!D92)-('Eingabeblatt 1'!$L$76*(1+'Eingabeblatt 1'!$J$76)^'Zusammenfassung Ergebnis'!D92)-('Eingabeblatt 1'!$L$77*(1+'Eingabeblatt 1'!$J$77)^'Zusammenfassung Ergebnis'!D92),"")</f>
        <v>-194528.70461434597</v>
      </c>
      <c r="J92" s="347">
        <f>IF(A91&lt;='Eingabeblatt 1'!$D$18,'Eingabeblatt 1'!$D$81*(1+'Eingabeblatt 1'!$J$81)^'Zusammenfassung Ergebnis'!D92)</f>
        <v>6223.5792987546065</v>
      </c>
      <c r="K92" s="348">
        <f>IF(A92&lt;='Eingabeblatt 1'!$D$18,'Eingabeblatt 1'!$L$15*(1+'Eingabeblatt 1'!$D$15)^D92,"")</f>
        <v>284390.25498059386</v>
      </c>
      <c r="L92" s="348">
        <f>IF(D92&lt;='Eingabeblatt 1'!$D$18,(SUMIFS('Eingabeblatt 2'!$Q$14:$Q$53,'Eingabeblatt 2'!$E$14:$E$53,'Zusammenfassung Ergebnis'!D92))*(1+'Eingabeblatt 1'!$J$65)^'Zusammenfassung Ergebnis'!D92,"")</f>
        <v>0</v>
      </c>
      <c r="M92" s="349">
        <f>IF(A92&lt;='Eingabeblatt 1'!$D$18,SUM(G92:L92)+E92,"")</f>
        <v>-1055846.8392364047</v>
      </c>
      <c r="N92" s="350">
        <f>IF(A92&lt;='Eingabeblatt 1'!$D$18,(E92+G92+H92+I92+J92+K92+L92)/(1+'Eingabeblatt 1'!$D$19)^D92,"")</f>
        <v>-445520.26129381399</v>
      </c>
      <c r="O92" s="350">
        <f>IF(A92&lt;='Eingabeblatt 1'!$D$18,O91+N92,"")</f>
        <v>-67028147.302178033</v>
      </c>
      <c r="R92" s="351">
        <f>(((40-D92)/40*$Q$70))*('Eingabeblatt 1'!$D$20)+$Q$70/40</f>
        <v>89857.24</v>
      </c>
      <c r="S92" s="351"/>
      <c r="T92" s="351">
        <f>(((30-D92)/30*$S$70))*('Eingabeblatt 1'!$D$20)+$S$70/30</f>
        <v>0</v>
      </c>
      <c r="U92" s="351"/>
      <c r="V92" s="351">
        <f>(((20-D73)/20*$U$90))*('Eingabeblatt 1'!$D$20)+$U$90/20</f>
        <v>1059690.1839138106</v>
      </c>
      <c r="W92" s="351"/>
      <c r="X92" s="351">
        <f>(((10-D73)/10*$W$90))*('Eingabeblatt 1'!$D$20)+$W$90/10</f>
        <v>800388.87914043118</v>
      </c>
      <c r="Y92" s="354">
        <f t="shared" si="7"/>
        <v>1949936.3030542419</v>
      </c>
      <c r="AD92" s="342">
        <v>22</v>
      </c>
      <c r="AE92" s="352">
        <f t="shared" si="3"/>
        <v>-67028147.302178033</v>
      </c>
      <c r="AF92" s="352">
        <f t="shared" si="0"/>
        <v>-72281301.20050253</v>
      </c>
      <c r="AG92" s="352">
        <f t="shared" si="4"/>
        <v>-5253153.898324497</v>
      </c>
      <c r="AH92" s="353">
        <f t="shared" si="1"/>
        <v>0</v>
      </c>
      <c r="AI92" s="342"/>
      <c r="AJ92" s="342"/>
      <c r="AK92" s="342">
        <f>IF(AE92&gt;0,IF(SUM(AK70:AK91)=0,AD92,0),0)</f>
        <v>0</v>
      </c>
      <c r="AL92" s="342">
        <f>IF(AF92&gt;0,IF(SUM(AL70:AL91)=0,AD92,0),0)</f>
        <v>0</v>
      </c>
      <c r="AO92" s="351">
        <f t="shared" si="8"/>
        <v>-3005783.1422906471</v>
      </c>
      <c r="AP92" s="351">
        <f t="shared" si="2"/>
        <v>-3401733.2105668117</v>
      </c>
      <c r="AQ92" s="351">
        <f t="shared" si="5"/>
        <v>395950.06827616459</v>
      </c>
    </row>
    <row r="93" spans="1:43" s="341" customFormat="1" ht="14.25" customHeight="1" x14ac:dyDescent="0.3">
      <c r="A93" s="345">
        <v>23</v>
      </c>
      <c r="C93" s="346">
        <f>IF(A93&lt;='Eingabeblatt 1'!$D$18,C92+1,"")</f>
        <v>2041</v>
      </c>
      <c r="D93" s="345">
        <f>IF(A93&lt;='Eingabeblatt 1'!$D$18,D92+1,"")</f>
        <v>23</v>
      </c>
      <c r="E93" s="354">
        <f>IF(A93&lt;='Eingabeblatt 1'!$D$18,IF(D93='Eingabeblatt 1'!$D$65,-'Eingabeblatt 1'!$L$65*(1+'Eingabeblatt 1'!$J$65)^D93,IF(D93='Eingabeblatt 1'!$D$66,-'Eingabeblatt 1'!$L$66*(1+'Eingabeblatt 1'!$J$66)^D93,IF(D93='Eingabeblatt 1'!$D$67,-'Eingabeblatt 1'!$L$67*(1+'Eingabeblatt 1'!$J$67)^D93,0))),"")</f>
        <v>0</v>
      </c>
      <c r="F93" s="354">
        <f t="shared" si="6"/>
        <v>-1918756.6914921845</v>
      </c>
      <c r="G93" s="347">
        <f>IF(A93&lt;='Eingabeblatt 1'!$D$18,IF(D93='Eingabeblatt 1'!$D$72,-('Eingabeblatt 1'!$L$71+'Eingabeblatt 1'!$L$72)*(1+'Eingabeblatt 1'!$J$71)^'Zusammenfassung Ergebnis'!D93,-('Eingabeblatt 1'!$L$71)*(1+'Eingabeblatt 1'!$J$71)^'Zusammenfassung Ergebnis'!D93),"")</f>
        <v>-662297.69096038677</v>
      </c>
      <c r="H93" s="347">
        <f>IF(A93&lt;='Eingabeblatt 1'!$D$18,H92*(1+'Eingabeblatt 1'!$J$73),"")</f>
        <v>-513929.4685869877</v>
      </c>
      <c r="I93" s="347">
        <f>IF(A93&lt;='Eingabeblatt 1'!$D$18,(-'Eingabeblatt 1'!$L$75*(1+'Eingabeblatt 1'!$J$75)^'Zusammenfassung Ergebnis'!D93)-('Eingabeblatt 1'!$L$76*(1+'Eingabeblatt 1'!$J$76)^'Zusammenfassung Ergebnis'!D93)-('Eingabeblatt 1'!$L$77*(1+'Eingabeblatt 1'!$J$77)^'Zusammenfassung Ergebnis'!D93),"")</f>
        <v>-195521.56232298</v>
      </c>
      <c r="J93" s="347">
        <f>IF(A92&lt;='Eingabeblatt 1'!$D$18,'Eingabeblatt 1'!$D$81*(1+'Eingabeblatt 1'!$J$81)^'Zusammenfassung Ergebnis'!D93)</f>
        <v>6285.8150917421517</v>
      </c>
      <c r="K93" s="348">
        <f>IF(A93&lt;='Eingabeblatt 1'!$D$18,'Eingabeblatt 1'!$L$15*(1+'Eingabeblatt 1'!$D$15)^D93,"")</f>
        <v>295765.8651798176</v>
      </c>
      <c r="L93" s="348">
        <f>IF(D93&lt;='Eingabeblatt 1'!$D$18,(SUMIFS('Eingabeblatt 2'!$Q$14:$Q$53,'Eingabeblatt 2'!$E$14:$E$53,'Zusammenfassung Ergebnis'!D93))*(1+'Eingabeblatt 1'!$J$65)^'Zusammenfassung Ergebnis'!D93,"")</f>
        <v>0</v>
      </c>
      <c r="M93" s="349">
        <f>IF(A93&lt;='Eingabeblatt 1'!$D$18,SUM(G93:L93)+E93,"")</f>
        <v>-1069697.0415987947</v>
      </c>
      <c r="N93" s="350">
        <f>IF(A93&lt;='Eingabeblatt 1'!$D$18,(E93+G93+H93+I93+J93+K93+L93)/(1+'Eingabeblatt 1'!$D$19)^D93,"")</f>
        <v>-434004.25844887056</v>
      </c>
      <c r="O93" s="350">
        <f>IF(A93&lt;='Eingabeblatt 1'!$D$18,O92+N93,"")</f>
        <v>-67462151.560626909</v>
      </c>
      <c r="R93" s="351">
        <f>(((40-D93)/40*$Q$70))*('Eingabeblatt 1'!$D$20)+$Q$70/40</f>
        <v>88535.81</v>
      </c>
      <c r="S93" s="351"/>
      <c r="T93" s="351">
        <f>(((30-D93)/30*$S$70))*('Eingabeblatt 1'!$D$20)+$S$70/30</f>
        <v>0</v>
      </c>
      <c r="U93" s="351"/>
      <c r="V93" s="351">
        <f>(((20-D74)/20*$U$90))*('Eingabeblatt 1'!$D$20)+$U$90/20</f>
        <v>1043873.9125121119</v>
      </c>
      <c r="W93" s="351"/>
      <c r="X93" s="351">
        <f>(((10-D74)/10*$W$90))*('Eingabeblatt 1'!$D$20)+$W$90/10</f>
        <v>786346.96898007265</v>
      </c>
      <c r="Y93" s="354">
        <f t="shared" si="7"/>
        <v>1918756.6914921845</v>
      </c>
      <c r="AD93" s="342">
        <v>23</v>
      </c>
      <c r="AE93" s="352">
        <f t="shared" si="3"/>
        <v>-67462151.560626909</v>
      </c>
      <c r="AF93" s="352">
        <f t="shared" si="0"/>
        <v>-72846406.341311976</v>
      </c>
      <c r="AG93" s="352">
        <f t="shared" si="4"/>
        <v>-5384254.7806850672</v>
      </c>
      <c r="AH93" s="353">
        <f t="shared" si="1"/>
        <v>0</v>
      </c>
      <c r="AI93" s="342"/>
      <c r="AJ93" s="342"/>
      <c r="AK93" s="342">
        <f>IF(AE93&gt;0,IF(SUM(AK70:AK92)=0,AD93,0),0)</f>
        <v>0</v>
      </c>
      <c r="AL93" s="342">
        <f>IF(AF93&gt;0,IF(SUM(AL70:AL92)=0,AD93,0),0)</f>
        <v>0</v>
      </c>
      <c r="AO93" s="351">
        <f t="shared" si="8"/>
        <v>-2988453.733090979</v>
      </c>
      <c r="AP93" s="351">
        <f t="shared" si="2"/>
        <v>-3394079.1304357126</v>
      </c>
      <c r="AQ93" s="351">
        <f t="shared" si="5"/>
        <v>405625.39734473359</v>
      </c>
    </row>
    <row r="94" spans="1:43" s="341" customFormat="1" ht="14.25" customHeight="1" x14ac:dyDescent="0.3">
      <c r="A94" s="345">
        <v>24</v>
      </c>
      <c r="C94" s="346">
        <f>IF(A94&lt;='Eingabeblatt 1'!$D$18,C93+1,"")</f>
        <v>2042</v>
      </c>
      <c r="D94" s="345">
        <f>IF(A94&lt;='Eingabeblatt 1'!$D$18,D93+1,"")</f>
        <v>24</v>
      </c>
      <c r="E94" s="354">
        <f>IF(A94&lt;='Eingabeblatt 1'!$D$18,IF(D94='Eingabeblatt 1'!$D$65,-'Eingabeblatt 1'!$L$65*(1+'Eingabeblatt 1'!$J$65)^D94,IF(D94='Eingabeblatt 1'!$D$66,-'Eingabeblatt 1'!$L$66*(1+'Eingabeblatt 1'!$J$66)^D94,IF(D94='Eingabeblatt 1'!$D$67,-'Eingabeblatt 1'!$L$67*(1+'Eingabeblatt 1'!$J$67)^D94,0))),"")</f>
        <v>0</v>
      </c>
      <c r="F94" s="354">
        <f t="shared" si="6"/>
        <v>-1887577.0799301274</v>
      </c>
      <c r="G94" s="347">
        <f>IF(A94&lt;='Eingabeblatt 1'!$D$18,IF(D94='Eingabeblatt 1'!$D$72,-('Eingabeblatt 1'!$L$71+'Eingabeblatt 1'!$L$72)*(1+'Eingabeblatt 1'!$J$71)^'Zusammenfassung Ergebnis'!D94,-('Eingabeblatt 1'!$L$71)*(1+'Eingabeblatt 1'!$J$71)^'Zusammenfassung Ergebnis'!D94),"")</f>
        <v>-675543.6447795945</v>
      </c>
      <c r="H94" s="347">
        <f>IF(A94&lt;='Eingabeblatt 1'!$D$18,H93*(1+'Eingabeblatt 1'!$J$73),"")</f>
        <v>-525492.88163019496</v>
      </c>
      <c r="I94" s="347">
        <f>IF(A94&lt;='Eingabeblatt 1'!$D$18,(-'Eingabeblatt 1'!$L$75*(1+'Eingabeblatt 1'!$J$75)^'Zusammenfassung Ergebnis'!D94)-('Eingabeblatt 1'!$L$76*(1+'Eingabeblatt 1'!$J$76)^'Zusammenfassung Ergebnis'!D94)-('Eingabeblatt 1'!$L$77*(1+'Eingabeblatt 1'!$J$77)^'Zusammenfassung Ergebnis'!D94),"")</f>
        <v>-196519.58646201293</v>
      </c>
      <c r="J94" s="347">
        <f>IF(A93&lt;='Eingabeblatt 1'!$D$18,'Eingabeblatt 1'!$D$81*(1+'Eingabeblatt 1'!$J$81)^'Zusammenfassung Ergebnis'!D94)</f>
        <v>6348.6732426595745</v>
      </c>
      <c r="K94" s="348">
        <f>IF(A94&lt;='Eingabeblatt 1'!$D$18,'Eingabeblatt 1'!$L$15*(1+'Eingabeblatt 1'!$D$15)^D94,"")</f>
        <v>307596.49978701031</v>
      </c>
      <c r="L94" s="348">
        <f>IF(D94&lt;='Eingabeblatt 1'!$D$18,(SUMIFS('Eingabeblatt 2'!$Q$14:$Q$53,'Eingabeblatt 2'!$E$14:$E$53,'Zusammenfassung Ergebnis'!D94))*(1+'Eingabeblatt 1'!$J$65)^'Zusammenfassung Ergebnis'!D94,"")</f>
        <v>0</v>
      </c>
      <c r="M94" s="349">
        <f>IF(A94&lt;='Eingabeblatt 1'!$D$18,SUM(G94:L94)+E94,"")</f>
        <v>-1083610.9398421326</v>
      </c>
      <c r="N94" s="350">
        <f>IF(A94&lt;='Eingabeblatt 1'!$D$18,(E94+G94+H94+I94+J94+K94+L94)/(1+'Eingabeblatt 1'!$D$19)^D94,"")</f>
        <v>-422739.89746663289</v>
      </c>
      <c r="O94" s="350">
        <f>IF(A94&lt;='Eingabeblatt 1'!$D$18,O93+N94,"")</f>
        <v>-67884891.458093539</v>
      </c>
      <c r="R94" s="351">
        <f>(((40-D94)/40*$Q$70))*('Eingabeblatt 1'!$D$20)+$Q$70/40</f>
        <v>87214.38</v>
      </c>
      <c r="S94" s="351"/>
      <c r="T94" s="351">
        <f>(((30-D94)/30*$S$70))*('Eingabeblatt 1'!$D$20)+$S$70/30</f>
        <v>0</v>
      </c>
      <c r="U94" s="351"/>
      <c r="V94" s="351">
        <f>(((20-D75)/20*$U$90))*('Eingabeblatt 1'!$D$20)+$U$90/20</f>
        <v>1028057.6411104132</v>
      </c>
      <c r="W94" s="351"/>
      <c r="X94" s="351">
        <f>(((10-D75)/10*$W$90))*('Eingabeblatt 1'!$D$20)+$W$90/10</f>
        <v>772305.05881971424</v>
      </c>
      <c r="Y94" s="354">
        <f t="shared" si="7"/>
        <v>1887577.0799301274</v>
      </c>
      <c r="AD94" s="342">
        <v>24</v>
      </c>
      <c r="AE94" s="352">
        <f t="shared" si="3"/>
        <v>-67884891.458093539</v>
      </c>
      <c r="AF94" s="352">
        <f t="shared" si="0"/>
        <v>-73399860.915028229</v>
      </c>
      <c r="AG94" s="352">
        <f t="shared" si="4"/>
        <v>-5514969.4569346905</v>
      </c>
      <c r="AH94" s="353">
        <f t="shared" si="1"/>
        <v>0</v>
      </c>
      <c r="AI94" s="342"/>
      <c r="AJ94" s="342"/>
      <c r="AK94" s="342">
        <f>IF(AE94&gt;0,IF(SUM(AK70:AK93)=0,AD94,0),0)</f>
        <v>0</v>
      </c>
      <c r="AL94" s="342">
        <f>IF(AF94&gt;0,IF(SUM(AL70:AL93)=0,AD94,0),0)</f>
        <v>0</v>
      </c>
      <c r="AO94" s="351">
        <f t="shared" si="8"/>
        <v>-2971188.0197722595</v>
      </c>
      <c r="AP94" s="351">
        <f t="shared" si="2"/>
        <v>-3386940.0148529145</v>
      </c>
      <c r="AQ94" s="351">
        <f t="shared" si="5"/>
        <v>415751.99508065498</v>
      </c>
    </row>
    <row r="95" spans="1:43" s="341" customFormat="1" ht="14.25" customHeight="1" x14ac:dyDescent="0.3">
      <c r="A95" s="345">
        <v>25</v>
      </c>
      <c r="C95" s="346">
        <f>IF(A95&lt;='Eingabeblatt 1'!$D$18,C94+1,"")</f>
        <v>2043</v>
      </c>
      <c r="D95" s="345">
        <f>IF(A95&lt;='Eingabeblatt 1'!$D$18,D94+1,"")</f>
        <v>25</v>
      </c>
      <c r="E95" s="354">
        <f>IF(A95&lt;='Eingabeblatt 1'!$D$18,IF(D95='Eingabeblatt 1'!$D$65,-'Eingabeblatt 1'!$L$65*(1+'Eingabeblatt 1'!$J$65)^D95,IF(D95='Eingabeblatt 1'!$D$66,-'Eingabeblatt 1'!$L$66*(1+'Eingabeblatt 1'!$J$66)^D95,IF(D95='Eingabeblatt 1'!$D$67,-'Eingabeblatt 1'!$L$67*(1+'Eingabeblatt 1'!$J$67)^D95,0))),"")</f>
        <v>0</v>
      </c>
      <c r="F95" s="354">
        <f t="shared" si="6"/>
        <v>-1856397.4683680702</v>
      </c>
      <c r="G95" s="347">
        <f>IF(A95&lt;='Eingabeblatt 1'!$D$18,IF(D95='Eingabeblatt 1'!$D$72,-('Eingabeblatt 1'!$L$71+'Eingabeblatt 1'!$L$72)*(1+'Eingabeblatt 1'!$J$71)^'Zusammenfassung Ergebnis'!D95,-('Eingabeblatt 1'!$L$71)*(1+'Eingabeblatt 1'!$J$71)^'Zusammenfassung Ergebnis'!D95),"")</f>
        <v>-689054.51767518639</v>
      </c>
      <c r="H95" s="347">
        <f>IF(A95&lt;='Eingabeblatt 1'!$D$18,H94*(1+'Eingabeblatt 1'!$J$73),"")</f>
        <v>-537316.47146687435</v>
      </c>
      <c r="I95" s="347">
        <f>IF(A95&lt;='Eingabeblatt 1'!$D$18,(-'Eingabeblatt 1'!$L$75*(1+'Eingabeblatt 1'!$J$75)^'Zusammenfassung Ergebnis'!D95)-('Eingabeblatt 1'!$L$76*(1+'Eingabeblatt 1'!$J$76)^'Zusammenfassung Ergebnis'!D95)-('Eingabeblatt 1'!$L$77*(1+'Eingabeblatt 1'!$J$77)^'Zusammenfassung Ergebnis'!D95),"")</f>
        <v>-197522.8048850151</v>
      </c>
      <c r="J95" s="347">
        <f>IF(A94&lt;='Eingabeblatt 1'!$D$18,'Eingabeblatt 1'!$D$81*(1+'Eingabeblatt 1'!$J$81)^'Zusammenfassung Ergebnis'!D95)</f>
        <v>6412.1599750861715</v>
      </c>
      <c r="K95" s="348">
        <f>IF(A95&lt;='Eingabeblatt 1'!$D$18,'Eingabeblatt 1'!$L$15*(1+'Eingabeblatt 1'!$D$15)^D95,"")</f>
        <v>319900.35977849079</v>
      </c>
      <c r="L95" s="348">
        <f>IF(D95&lt;='Eingabeblatt 1'!$D$18,(SUMIFS('Eingabeblatt 2'!$Q$14:$Q$53,'Eingabeblatt 2'!$E$14:$E$53,'Zusammenfassung Ergebnis'!D95))*(1+'Eingabeblatt 1'!$J$65)^'Zusammenfassung Ergebnis'!D95,"")</f>
        <v>0</v>
      </c>
      <c r="M95" s="349">
        <f>IF(A95&lt;='Eingabeblatt 1'!$D$18,SUM(G95:L95)+E95,"")</f>
        <v>-1097581.2742734989</v>
      </c>
      <c r="N95" s="350">
        <f>IF(A95&lt;='Eingabeblatt 1'!$D$18,(E95+G95+H95+I95+J95+K95+L95)/(1+'Eingabeblatt 1'!$D$19)^D95,"")</f>
        <v>-411721.17781930568</v>
      </c>
      <c r="O95" s="350">
        <f>IF(A95&lt;='Eingabeblatt 1'!$D$18,O94+N95,"")</f>
        <v>-68296612.63591285</v>
      </c>
      <c r="R95" s="351">
        <f>(((40-D95)/40*$Q$70))*('Eingabeblatt 1'!$D$20)+$Q$70/40</f>
        <v>85892.95</v>
      </c>
      <c r="S95" s="351"/>
      <c r="T95" s="351">
        <f>(((30-D95)/30*$S$70))*('Eingabeblatt 1'!$D$20)+$S$70/30</f>
        <v>0</v>
      </c>
      <c r="U95" s="351"/>
      <c r="V95" s="351">
        <f>(((20-D76)/20*$U$90))*('Eingabeblatt 1'!$D$20)+$U$90/20</f>
        <v>1012241.3697087145</v>
      </c>
      <c r="W95" s="351"/>
      <c r="X95" s="351">
        <f>(((10-D76)/10*$W$90))*('Eingabeblatt 1'!$D$20)+$W$90/10</f>
        <v>758263.14865935582</v>
      </c>
      <c r="Y95" s="354">
        <f t="shared" si="7"/>
        <v>1856397.4683680702</v>
      </c>
      <c r="AD95" s="342">
        <v>25</v>
      </c>
      <c r="AE95" s="352">
        <f t="shared" si="3"/>
        <v>-68296612.63591285</v>
      </c>
      <c r="AF95" s="352">
        <f t="shared" si="0"/>
        <v>-73941922.399046063</v>
      </c>
      <c r="AG95" s="352">
        <f t="shared" si="4"/>
        <v>-5645309.7631332129</v>
      </c>
      <c r="AH95" s="353">
        <f t="shared" si="1"/>
        <v>0</v>
      </c>
      <c r="AI95" s="342"/>
      <c r="AJ95" s="342"/>
      <c r="AK95" s="342">
        <f>IF(AE95&gt;0,IF(SUM(AK70:AK94)=0,AD95,0),0)</f>
        <v>0</v>
      </c>
      <c r="AL95" s="342">
        <f>IF(AF95&gt;0,IF(SUM(AL70:AL94)=0,AD95,0),0)</f>
        <v>0</v>
      </c>
      <c r="AO95" s="351">
        <f t="shared" si="8"/>
        <v>-2953978.7426415686</v>
      </c>
      <c r="AP95" s="351">
        <f t="shared" si="2"/>
        <v>-3380326.6935699312</v>
      </c>
      <c r="AQ95" s="351">
        <f t="shared" si="5"/>
        <v>426347.95092836255</v>
      </c>
    </row>
    <row r="96" spans="1:43" s="341" customFormat="1" ht="14.25" customHeight="1" x14ac:dyDescent="0.3">
      <c r="A96" s="345">
        <v>26</v>
      </c>
      <c r="C96" s="346">
        <f>IF(A96&lt;='Eingabeblatt 1'!$D$18,C95+1,"")</f>
        <v>2044</v>
      </c>
      <c r="D96" s="345">
        <f>IF(A96&lt;='Eingabeblatt 1'!$D$18,D95+1,"")</f>
        <v>26</v>
      </c>
      <c r="E96" s="354">
        <f>IF(A96&lt;='Eingabeblatt 1'!$D$18,IF(D96='Eingabeblatt 1'!$D$65,-'Eingabeblatt 1'!$L$65*(1+'Eingabeblatt 1'!$J$65)^D96,IF(D96='Eingabeblatt 1'!$D$66,-'Eingabeblatt 1'!$L$66*(1+'Eingabeblatt 1'!$J$66)^D96,IF(D96='Eingabeblatt 1'!$D$67,-'Eingabeblatt 1'!$L$67*(1+'Eingabeblatt 1'!$J$67)^D96,0))),"")</f>
        <v>0</v>
      </c>
      <c r="F96" s="354">
        <f t="shared" si="6"/>
        <v>-1825217.8568060133</v>
      </c>
      <c r="G96" s="347">
        <f>IF(A96&lt;='Eingabeblatt 1'!$D$18,IF(D96='Eingabeblatt 1'!$D$72,-('Eingabeblatt 1'!$L$71+'Eingabeblatt 1'!$L$72)*(1+'Eingabeblatt 1'!$J$71)^'Zusammenfassung Ergebnis'!D96,-('Eingabeblatt 1'!$L$71)*(1+'Eingabeblatt 1'!$J$71)^'Zusammenfassung Ergebnis'!D96),"")</f>
        <v>-702835.60802869021</v>
      </c>
      <c r="H96" s="347">
        <f>IF(A96&lt;='Eingabeblatt 1'!$D$18,H95*(1+'Eingabeblatt 1'!$J$73),"")</f>
        <v>-549406.09207487898</v>
      </c>
      <c r="I96" s="347">
        <f>IF(A96&lt;='Eingabeblatt 1'!$D$18,(-'Eingabeblatt 1'!$L$75*(1+'Eingabeblatt 1'!$J$75)^'Zusammenfassung Ergebnis'!D96)-('Eingabeblatt 1'!$L$76*(1+'Eingabeblatt 1'!$J$76)^'Zusammenfassung Ergebnis'!D96)-('Eingabeblatt 1'!$L$77*(1+'Eingabeblatt 1'!$J$77)^'Zusammenfassung Ergebnis'!D96),"")</f>
        <v>-198531.24560503924</v>
      </c>
      <c r="J96" s="347">
        <f>IF(A95&lt;='Eingabeblatt 1'!$D$18,'Eingabeblatt 1'!$D$81*(1+'Eingabeblatt 1'!$J$81)^'Zusammenfassung Ergebnis'!D96)</f>
        <v>6476.2815748370331</v>
      </c>
      <c r="K96" s="348">
        <f>IF(A96&lt;='Eingabeblatt 1'!$D$18,'Eingabeblatt 1'!$L$15*(1+'Eingabeblatt 1'!$D$15)^D96,"")</f>
        <v>332696.37416963041</v>
      </c>
      <c r="L96" s="348">
        <f>IF(D96&lt;='Eingabeblatt 1'!$D$18,(SUMIFS('Eingabeblatt 2'!$Q$14:$Q$53,'Eingabeblatt 2'!$E$14:$E$53,'Zusammenfassung Ergebnis'!D96))*(1+'Eingabeblatt 1'!$J$65)^'Zusammenfassung Ergebnis'!D96,"")</f>
        <v>0</v>
      </c>
      <c r="M96" s="349">
        <f>IF(A96&lt;='Eingabeblatt 1'!$D$18,SUM(G96:L96)+E96,"")</f>
        <v>-1111600.2899641411</v>
      </c>
      <c r="N96" s="350">
        <f>IF(A96&lt;='Eingabeblatt 1'!$D$18,(E96+G96+H96+I96+J96+K96+L96)/(1+'Eingabeblatt 1'!$D$19)^D96,"")</f>
        <v>-400942.25591916114</v>
      </c>
      <c r="O96" s="350">
        <f>IF(A96&lt;='Eingabeblatt 1'!$D$18,O95+N96,"")</f>
        <v>-68697554.891832009</v>
      </c>
      <c r="R96" s="351">
        <f>(((40-D96)/40*$Q$70))*('Eingabeblatt 1'!$D$20)+$Q$70/40</f>
        <v>84571.51999999999</v>
      </c>
      <c r="S96" s="351"/>
      <c r="T96" s="351">
        <f>(((30-D96)/30*$S$70))*('Eingabeblatt 1'!$D$20)+$S$70/30</f>
        <v>0</v>
      </c>
      <c r="U96" s="351"/>
      <c r="V96" s="351">
        <f>(((20-D77)/20*$U$90))*('Eingabeblatt 1'!$D$20)+$U$90/20</f>
        <v>996425.09830701596</v>
      </c>
      <c r="W96" s="351"/>
      <c r="X96" s="351">
        <f>(((10-D77)/10*$W$90))*('Eingabeblatt 1'!$D$20)+$W$90/10</f>
        <v>744221.23849899741</v>
      </c>
      <c r="Y96" s="354">
        <f t="shared" si="7"/>
        <v>1825217.8568060133</v>
      </c>
      <c r="AD96" s="342">
        <v>26</v>
      </c>
      <c r="AE96" s="352">
        <f t="shared" si="3"/>
        <v>-68697554.891832009</v>
      </c>
      <c r="AF96" s="352">
        <f t="shared" si="0"/>
        <v>-74472842.102937222</v>
      </c>
      <c r="AG96" s="352">
        <f t="shared" si="4"/>
        <v>-5775287.2111052126</v>
      </c>
      <c r="AH96" s="353">
        <f t="shared" si="1"/>
        <v>0</v>
      </c>
      <c r="AI96" s="342"/>
      <c r="AJ96" s="342"/>
      <c r="AK96" s="342">
        <f>IF(AE96&gt;0,IF(SUM(AK70:AK95)=0,AD96,0),0)</f>
        <v>0</v>
      </c>
      <c r="AL96" s="342">
        <f>IF(AF96&gt;0,IF(SUM(AL70:AL95)=0,AD96,0),0)</f>
        <v>0</v>
      </c>
      <c r="AO96" s="351">
        <f t="shared" si="8"/>
        <v>-2936818.1467701546</v>
      </c>
      <c r="AP96" s="351">
        <f t="shared" si="2"/>
        <v>-3374250.2273477782</v>
      </c>
      <c r="AQ96" s="351">
        <f t="shared" si="5"/>
        <v>437432.08057762356</v>
      </c>
    </row>
    <row r="97" spans="1:43" s="341" customFormat="1" ht="14.25" customHeight="1" x14ac:dyDescent="0.3">
      <c r="A97" s="345">
        <v>27</v>
      </c>
      <c r="C97" s="346">
        <f>IF(A97&lt;='Eingabeblatt 1'!$D$18,C96+1,"")</f>
        <v>2045</v>
      </c>
      <c r="D97" s="345">
        <f>IF(A97&lt;='Eingabeblatt 1'!$D$18,D96+1,"")</f>
        <v>27</v>
      </c>
      <c r="E97" s="354">
        <f>IF(A97&lt;='Eingabeblatt 1'!$D$18,IF(D97='Eingabeblatt 1'!$D$65,-'Eingabeblatt 1'!$L$65*(1+'Eingabeblatt 1'!$J$65)^D97,IF(D97='Eingabeblatt 1'!$D$66,-'Eingabeblatt 1'!$L$66*(1+'Eingabeblatt 1'!$J$66)^D97,IF(D97='Eingabeblatt 1'!$D$67,-'Eingabeblatt 1'!$L$67*(1+'Eingabeblatt 1'!$J$67)^D97,0))),"")</f>
        <v>0</v>
      </c>
      <c r="F97" s="354">
        <f t="shared" si="6"/>
        <v>-1794038.2452439561</v>
      </c>
      <c r="G97" s="347">
        <f>IF(A97&lt;='Eingabeblatt 1'!$D$18,IF(D97='Eingabeblatt 1'!$D$72,-('Eingabeblatt 1'!$L$71+'Eingabeblatt 1'!$L$72)*(1+'Eingabeblatt 1'!$J$71)^'Zusammenfassung Ergebnis'!D97,-('Eingabeblatt 1'!$L$71)*(1+'Eingabeblatt 1'!$J$71)^'Zusammenfassung Ergebnis'!D97),"")</f>
        <v>-716892.3201892639</v>
      </c>
      <c r="H97" s="347">
        <f>IF(A97&lt;='Eingabeblatt 1'!$D$18,H96*(1+'Eingabeblatt 1'!$J$73),"")</f>
        <v>-561767.72914656368</v>
      </c>
      <c r="I97" s="347">
        <f>IF(A97&lt;='Eingabeblatt 1'!$D$18,(-'Eingabeblatt 1'!$L$75*(1+'Eingabeblatt 1'!$J$75)^'Zusammenfassung Ergebnis'!D97)-('Eingabeblatt 1'!$L$76*(1+'Eingabeblatt 1'!$J$76)^'Zusammenfassung Ergebnis'!D97)-('Eingabeblatt 1'!$L$77*(1+'Eingabeblatt 1'!$J$77)^'Zusammenfassung Ergebnis'!D97),"")</f>
        <v>-199544.93679561946</v>
      </c>
      <c r="J97" s="347">
        <f>IF(A96&lt;='Eingabeblatt 1'!$D$18,'Eingabeblatt 1'!$D$81*(1+'Eingabeblatt 1'!$J$81)^'Zusammenfassung Ergebnis'!D97)</f>
        <v>6541.0443905854008</v>
      </c>
      <c r="K97" s="348">
        <f>IF(A97&lt;='Eingabeblatt 1'!$D$18,'Eingabeblatt 1'!$L$15*(1+'Eingabeblatt 1'!$D$15)^D97,"")</f>
        <v>346004.22913641564</v>
      </c>
      <c r="L97" s="348">
        <f>IF(D97&lt;='Eingabeblatt 1'!$D$18,(SUMIFS('Eingabeblatt 2'!$Q$14:$Q$53,'Eingabeblatt 2'!$E$14:$E$53,'Zusammenfassung Ergebnis'!D97))*(1+'Eingabeblatt 1'!$J$65)^'Zusammenfassung Ergebnis'!D97,"")</f>
        <v>0</v>
      </c>
      <c r="M97" s="349">
        <f>IF(A97&lt;='Eingabeblatt 1'!$D$18,SUM(G97:L97)+E97,"")</f>
        <v>-1125659.7126044459</v>
      </c>
      <c r="N97" s="350">
        <f>IF(A97&lt;='Eingabeblatt 1'!$D$18,(E97+G97+H97+I97+J97+K97+L97)/(1+'Eingabeblatt 1'!$D$19)^D97,"")</f>
        <v>-390397.44066040649</v>
      </c>
      <c r="O97" s="350">
        <f>IF(A97&lt;='Eingabeblatt 1'!$D$18,O96+N97,"")</f>
        <v>-69087952.332492411</v>
      </c>
      <c r="R97" s="351">
        <f>(((40-D97)/40*$Q$70))*('Eingabeblatt 1'!$D$20)+$Q$70/40</f>
        <v>83250.09</v>
      </c>
      <c r="S97" s="351"/>
      <c r="T97" s="351">
        <f>(((30-D97)/30*$S$70))*('Eingabeblatt 1'!$D$20)+$S$70/30</f>
        <v>0</v>
      </c>
      <c r="U97" s="351"/>
      <c r="V97" s="351">
        <f>(((20-D78)/20*$U$90))*('Eingabeblatt 1'!$D$20)+$U$90/20</f>
        <v>980608.82690531726</v>
      </c>
      <c r="W97" s="351"/>
      <c r="X97" s="351">
        <f>(((10-D78)/10*$W$90))*('Eingabeblatt 1'!$D$20)+$W$90/10</f>
        <v>730179.32833863888</v>
      </c>
      <c r="Y97" s="354">
        <f t="shared" si="7"/>
        <v>1794038.2452439561</v>
      </c>
      <c r="AD97" s="342">
        <v>27</v>
      </c>
      <c r="AE97" s="352">
        <f t="shared" si="3"/>
        <v>-69087952.332492411</v>
      </c>
      <c r="AF97" s="352">
        <f t="shared" si="0"/>
        <v>-74992865.328736588</v>
      </c>
      <c r="AG97" s="352">
        <f t="shared" si="4"/>
        <v>-5904912.9962441772</v>
      </c>
      <c r="AH97" s="353">
        <f t="shared" si="1"/>
        <v>0</v>
      </c>
      <c r="AI97" s="342"/>
      <c r="AJ97" s="342"/>
      <c r="AK97" s="342">
        <f>IF(AE97&gt;0,IF(SUM(AK70:AK96)=0,AD97,0),0)</f>
        <v>0</v>
      </c>
      <c r="AL97" s="342">
        <f>IF(AF97&gt;0,IF(SUM(AL70:AL96)=0,AD97,0),0)</f>
        <v>0</v>
      </c>
      <c r="AO97" s="351">
        <f t="shared" si="8"/>
        <v>-2919697.9578484017</v>
      </c>
      <c r="AP97" s="351">
        <f t="shared" si="2"/>
        <v>-3368721.9129214711</v>
      </c>
      <c r="AQ97" s="351">
        <f t="shared" si="5"/>
        <v>449023.95507306932</v>
      </c>
    </row>
    <row r="98" spans="1:43" s="341" customFormat="1" ht="14.25" customHeight="1" x14ac:dyDescent="0.3">
      <c r="A98" s="345">
        <v>28</v>
      </c>
      <c r="C98" s="346">
        <f>IF(A98&lt;='Eingabeblatt 1'!$D$18,C97+1,"")</f>
        <v>2046</v>
      </c>
      <c r="D98" s="345">
        <f>IF(A98&lt;='Eingabeblatt 1'!$D$18,D97+1,"")</f>
        <v>28</v>
      </c>
      <c r="E98" s="354">
        <f>IF(A98&lt;='Eingabeblatt 1'!$D$18,IF(D98='Eingabeblatt 1'!$D$65,-'Eingabeblatt 1'!$L$65*(1+'Eingabeblatt 1'!$J$65)^D98,IF(D98='Eingabeblatt 1'!$D$66,-'Eingabeblatt 1'!$L$66*(1+'Eingabeblatt 1'!$J$66)^D98,IF(D98='Eingabeblatt 1'!$D$67,-'Eingabeblatt 1'!$L$67*(1+'Eingabeblatt 1'!$J$67)^D98,0))),"")</f>
        <v>0</v>
      </c>
      <c r="F98" s="354">
        <f t="shared" si="6"/>
        <v>-1762858.6336818992</v>
      </c>
      <c r="G98" s="347">
        <f>IF(A98&lt;='Eingabeblatt 1'!$D$18,IF(D98='Eingabeblatt 1'!$D$72,-('Eingabeblatt 1'!$L$71+'Eingabeblatt 1'!$L$72)*(1+'Eingabeblatt 1'!$J$71)^'Zusammenfassung Ergebnis'!D98,-('Eingabeblatt 1'!$L$71)*(1+'Eingabeblatt 1'!$J$71)^'Zusammenfassung Ergebnis'!D98),"")</f>
        <v>-731230.1665930493</v>
      </c>
      <c r="H98" s="347">
        <f>IF(A98&lt;='Eingabeblatt 1'!$D$18,H97*(1+'Eingabeblatt 1'!$J$73),"")</f>
        <v>-574407.50305236131</v>
      </c>
      <c r="I98" s="347">
        <f>IF(A98&lt;='Eingabeblatt 1'!$D$18,(-'Eingabeblatt 1'!$L$75*(1+'Eingabeblatt 1'!$J$75)^'Zusammenfassung Ergebnis'!D98)-('Eingabeblatt 1'!$L$76*(1+'Eingabeblatt 1'!$J$76)^'Zusammenfassung Ergebnis'!D98)-('Eingabeblatt 1'!$L$77*(1+'Eingabeblatt 1'!$J$77)^'Zusammenfassung Ergebnis'!D98),"")</f>
        <v>-200563.90679177814</v>
      </c>
      <c r="J98" s="347">
        <f>IF(A97&lt;='Eingabeblatt 1'!$D$18,'Eingabeblatt 1'!$D$81*(1+'Eingabeblatt 1'!$J$81)^'Zusammenfassung Ergebnis'!D98)</f>
        <v>6606.4548344912555</v>
      </c>
      <c r="K98" s="348">
        <f>IF(A98&lt;='Eingabeblatt 1'!$D$18,'Eingabeblatt 1'!$L$15*(1+'Eingabeblatt 1'!$D$15)^D98,"")</f>
        <v>359844.39830187231</v>
      </c>
      <c r="L98" s="348">
        <f>IF(D98&lt;='Eingabeblatt 1'!$D$18,(SUMIFS('Eingabeblatt 2'!$Q$14:$Q$53,'Eingabeblatt 2'!$E$14:$E$53,'Zusammenfassung Ergebnis'!D98))*(1+'Eingabeblatt 1'!$J$65)^'Zusammenfassung Ergebnis'!D98,"")</f>
        <v>0</v>
      </c>
      <c r="M98" s="349">
        <f>IF(A98&lt;='Eingabeblatt 1'!$D$18,SUM(G98:L98)+E98,"")</f>
        <v>-1139750.7233008249</v>
      </c>
      <c r="N98" s="350">
        <f>IF(A98&lt;='Eingabeblatt 1'!$D$18,(E98+G98+H98+I98+J98+K98+L98)/(1+'Eingabeblatt 1'!$D$19)^D98,"")</f>
        <v>-380081.18909596861</v>
      </c>
      <c r="O98" s="350">
        <f>IF(A98&lt;='Eingabeblatt 1'!$D$18,O97+N98,"")</f>
        <v>-69468033.521588385</v>
      </c>
      <c r="R98" s="351">
        <f>(((40-D98)/40*$Q$70))*('Eingabeblatt 1'!$D$20)+$Q$70/40</f>
        <v>81928.66</v>
      </c>
      <c r="S98" s="351"/>
      <c r="T98" s="351">
        <f>(((30-D98)/30*$S$70))*('Eingabeblatt 1'!$D$20)+$S$70/30</f>
        <v>0</v>
      </c>
      <c r="U98" s="351"/>
      <c r="V98" s="351">
        <f>(((20-D79)/20*$U$90))*('Eingabeblatt 1'!$D$20)+$U$90/20</f>
        <v>964792.55550361867</v>
      </c>
      <c r="W98" s="351"/>
      <c r="X98" s="351">
        <f>(((10-D79)/10*$W$90))*('Eingabeblatt 1'!$D$20)+$W$90/10</f>
        <v>716137.41817828047</v>
      </c>
      <c r="Y98" s="354">
        <f t="shared" si="7"/>
        <v>1762858.6336818992</v>
      </c>
      <c r="AD98" s="342">
        <v>28</v>
      </c>
      <c r="AE98" s="352">
        <f t="shared" si="3"/>
        <v>-69468033.521588385</v>
      </c>
      <c r="AF98" s="352">
        <f t="shared" si="0"/>
        <v>-75502231.526753947</v>
      </c>
      <c r="AG98" s="352">
        <f t="shared" si="4"/>
        <v>-6034198.005165562</v>
      </c>
      <c r="AH98" s="353">
        <f t="shared" si="1"/>
        <v>0</v>
      </c>
      <c r="AI98" s="342"/>
      <c r="AJ98" s="342"/>
      <c r="AK98" s="342">
        <f>IF(AE98&gt;0,IF(SUM(AK70:AK97)=0,AD98,0),0)</f>
        <v>0</v>
      </c>
      <c r="AL98" s="342">
        <f>IF(AF98&gt;0,IF(SUM(AL70:AL97)=0,AD98,0),0)</f>
        <v>0</v>
      </c>
      <c r="AO98" s="351">
        <f t="shared" si="8"/>
        <v>-2902609.3569827243</v>
      </c>
      <c r="AP98" s="351">
        <f t="shared" si="2"/>
        <v>-3363753.2880717367</v>
      </c>
      <c r="AQ98" s="351">
        <f t="shared" si="5"/>
        <v>461143.93108901242</v>
      </c>
    </row>
    <row r="99" spans="1:43" s="341" customFormat="1" ht="14.25" customHeight="1" x14ac:dyDescent="0.3">
      <c r="A99" s="345">
        <v>29</v>
      </c>
      <c r="C99" s="346">
        <f>IF(A99&lt;='Eingabeblatt 1'!$D$18,C98+1,"")</f>
        <v>2047</v>
      </c>
      <c r="D99" s="345">
        <f>IF(A99&lt;='Eingabeblatt 1'!$D$18,D98+1,"")</f>
        <v>29</v>
      </c>
      <c r="E99" s="354">
        <f>IF(A99&lt;='Eingabeblatt 1'!$D$18,IF(D99='Eingabeblatt 1'!$D$65,-'Eingabeblatt 1'!$L$65*(1+'Eingabeblatt 1'!$J$65)^D99,IF(D99='Eingabeblatt 1'!$D$66,-'Eingabeblatt 1'!$L$66*(1+'Eingabeblatt 1'!$J$66)^D99,IF(D99='Eingabeblatt 1'!$D$67,-'Eingabeblatt 1'!$L$67*(1+'Eingabeblatt 1'!$J$67)^D99,0))),"")</f>
        <v>0</v>
      </c>
      <c r="F99" s="354">
        <f t="shared" si="6"/>
        <v>-1731679.022119842</v>
      </c>
      <c r="G99" s="347">
        <f>IF(A99&lt;='Eingabeblatt 1'!$D$18,IF(D99='Eingabeblatt 1'!$D$72,-('Eingabeblatt 1'!$L$71+'Eingabeblatt 1'!$L$72)*(1+'Eingabeblatt 1'!$J$71)^'Zusammenfassung Ergebnis'!D99,-('Eingabeblatt 1'!$L$71)*(1+'Eingabeblatt 1'!$J$71)^'Zusammenfassung Ergebnis'!D99),"")</f>
        <v>-745854.76992491016</v>
      </c>
      <c r="H99" s="347">
        <f>IF(A99&lt;='Eingabeblatt 1'!$D$18,H98*(1+'Eingabeblatt 1'!$J$73),"")</f>
        <v>-587331.67187103943</v>
      </c>
      <c r="I99" s="347">
        <f>IF(A99&lt;='Eingabeblatt 1'!$D$18,(-'Eingabeblatt 1'!$L$75*(1+'Eingabeblatt 1'!$J$75)^'Zusammenfassung Ergebnis'!D99)-('Eingabeblatt 1'!$L$76*(1+'Eingabeblatt 1'!$J$76)^'Zusammenfassung Ergebnis'!D99)-('Eingabeblatt 1'!$L$77*(1+'Eingabeblatt 1'!$J$77)^'Zusammenfassung Ergebnis'!D99),"")</f>
        <v>-201588.18409103944</v>
      </c>
      <c r="J99" s="347">
        <f>IF(A98&lt;='Eingabeblatt 1'!$D$18,'Eingabeblatt 1'!$D$81*(1+'Eingabeblatt 1'!$J$81)^'Zusammenfassung Ergebnis'!D99)</f>
        <v>6672.519382836168</v>
      </c>
      <c r="K99" s="348">
        <f>IF(A99&lt;='Eingabeblatt 1'!$D$18,'Eingabeblatt 1'!$L$15*(1+'Eingabeblatt 1'!$D$15)^D99,"")</f>
        <v>374238.17423394724</v>
      </c>
      <c r="L99" s="348">
        <f>IF(D99&lt;='Eingabeblatt 1'!$D$18,(SUMIFS('Eingabeblatt 2'!$Q$14:$Q$53,'Eingabeblatt 2'!$E$14:$E$53,'Zusammenfassung Ergebnis'!D99))*(1+'Eingabeblatt 1'!$J$65)^'Zusammenfassung Ergebnis'!D99,"")</f>
        <v>0</v>
      </c>
      <c r="M99" s="349">
        <f>IF(A99&lt;='Eingabeblatt 1'!$D$18,SUM(G99:L99)+E99,"")</f>
        <v>-1153863.9322702058</v>
      </c>
      <c r="N99" s="350">
        <f>IF(A99&lt;='Eingabeblatt 1'!$D$18,(E99+G99+H99+I99+J99+K99+L99)/(1+'Eingabeblatt 1'!$D$19)^D99,"")</f>
        <v>-369988.10224492761</v>
      </c>
      <c r="O99" s="350">
        <f>IF(A99&lt;='Eingabeblatt 1'!$D$18,O98+N99,"")</f>
        <v>-69838021.623833314</v>
      </c>
      <c r="R99" s="351">
        <f>(((40-D99)/40*$Q$70))*('Eingabeblatt 1'!$D$20)+$Q$70/40</f>
        <v>80607.23000000001</v>
      </c>
      <c r="S99" s="351"/>
      <c r="T99" s="351">
        <f>(((30-D99)/30*$S$70))*('Eingabeblatt 1'!$D$20)+$S$70/30</f>
        <v>0</v>
      </c>
      <c r="U99" s="351"/>
      <c r="V99" s="351">
        <f>(((20-D80)/20*$U$90))*('Eingabeblatt 1'!$D$20)+$U$90/20</f>
        <v>948976.28410191997</v>
      </c>
      <c r="W99" s="351"/>
      <c r="X99" s="351">
        <f>(((10-D80)/10*$W$90))*('Eingabeblatt 1'!$D$20)+$W$90/10</f>
        <v>702095.50801792205</v>
      </c>
      <c r="Y99" s="354">
        <f t="shared" si="7"/>
        <v>1731679.022119842</v>
      </c>
      <c r="AD99" s="342">
        <v>29</v>
      </c>
      <c r="AE99" s="352">
        <f t="shared" si="3"/>
        <v>-69838021.623833314</v>
      </c>
      <c r="AF99" s="352">
        <f t="shared" si="0"/>
        <v>-76001174.447043478</v>
      </c>
      <c r="AG99" s="352">
        <f t="shared" si="4"/>
        <v>-6163152.8232101649</v>
      </c>
      <c r="AH99" s="353">
        <f t="shared" si="1"/>
        <v>0</v>
      </c>
      <c r="AI99" s="342"/>
      <c r="AJ99" s="342"/>
      <c r="AK99" s="342">
        <f>IF(AE99&gt;0,IF(SUM(AK70:AK98)=0,AD99,0),0)</f>
        <v>0</v>
      </c>
      <c r="AL99" s="342">
        <f>IF(AF99&gt;0,IF(SUM(AL70:AL98)=0,AD99,0),0)</f>
        <v>0</v>
      </c>
      <c r="AO99" s="351">
        <f t="shared" si="8"/>
        <v>-2885542.9543900476</v>
      </c>
      <c r="AP99" s="351">
        <f t="shared" si="2"/>
        <v>-3359356.1368062608</v>
      </c>
      <c r="AQ99" s="351">
        <f t="shared" si="5"/>
        <v>473813.18241621321</v>
      </c>
    </row>
    <row r="100" spans="1:43" s="341" customFormat="1" ht="14.25" customHeight="1" x14ac:dyDescent="0.3">
      <c r="A100" s="345">
        <v>30</v>
      </c>
      <c r="C100" s="346">
        <f>IF(A100&lt;='Eingabeblatt 1'!$D$18,C99+1,"")</f>
        <v>2048</v>
      </c>
      <c r="D100" s="345">
        <f>IF(A100&lt;='Eingabeblatt 1'!$D$18,D99+1,"")</f>
        <v>30</v>
      </c>
      <c r="E100" s="354">
        <f>IF(A100&lt;='Eingabeblatt 1'!$D$18,IF(D100='Eingabeblatt 1'!$D$65,-'Eingabeblatt 1'!$L$65*(1+'Eingabeblatt 1'!$J$65)^D100,IF(D100='Eingabeblatt 1'!$D$66,-'Eingabeblatt 1'!$L$66*(1+'Eingabeblatt 1'!$J$66)^D100,IF(D100='Eingabeblatt 1'!$D$67,-'Eingabeblatt 1'!$L$67*(1+'Eingabeblatt 1'!$J$67)^D100,0))),"")</f>
        <v>-13443699.757315146</v>
      </c>
      <c r="F100" s="354">
        <f t="shared" si="6"/>
        <v>-2022349.4104613541</v>
      </c>
      <c r="G100" s="347">
        <f>IF(A100&lt;='Eingabeblatt 1'!$D$18,IF(D100='Eingabeblatt 1'!$D$72,-('Eingabeblatt 1'!$L$71+'Eingabeblatt 1'!$L$72)*(1+'Eingabeblatt 1'!$J$71)^'Zusammenfassung Ergebnis'!D100,-('Eingabeblatt 1'!$L$71)*(1+'Eingabeblatt 1'!$J$71)^'Zusammenfassung Ergebnis'!D100),"")</f>
        <v>-760771.86532340851</v>
      </c>
      <c r="H100" s="347">
        <f>IF(A100&lt;='Eingabeblatt 1'!$D$18,H99*(1+'Eingabeblatt 1'!$J$73),"")</f>
        <v>-600546.63448813779</v>
      </c>
      <c r="I100" s="347">
        <f>IF(A100&lt;='Eingabeblatt 1'!$D$18,(-'Eingabeblatt 1'!$L$75*(1+'Eingabeblatt 1'!$J$75)^'Zusammenfassung Ergebnis'!D100)-('Eingabeblatt 1'!$L$76*(1+'Eingabeblatt 1'!$J$76)^'Zusammenfassung Ergebnis'!D100)-('Eingabeblatt 1'!$L$77*(1+'Eingabeblatt 1'!$J$77)^'Zusammenfassung Ergebnis'!D100),"")</f>
        <v>-202617.79735445007</v>
      </c>
      <c r="J100" s="347">
        <f>IF(A99&lt;='Eingabeblatt 1'!$D$18,'Eingabeblatt 1'!$D$81*(1+'Eingabeblatt 1'!$J$81)^'Zusammenfassung Ergebnis'!D100)</f>
        <v>6739.2445766645315</v>
      </c>
      <c r="K100" s="348">
        <f>IF(A100&lt;='Eingabeblatt 1'!$D$18,'Eingabeblatt 1'!$L$15*(1+'Eingabeblatt 1'!$D$15)^D100,"")</f>
        <v>389207.7012033051</v>
      </c>
      <c r="L100" s="348">
        <f>IF(D100&lt;='Eingabeblatt 1'!$D$18,(SUMIFS('Eingabeblatt 2'!$Q$14:$Q$53,'Eingabeblatt 2'!$E$14:$E$53,'Zusammenfassung Ergebnis'!D100)+SUMIFS('Eingabeblatt 2'!$Q$14:$Q$53,'Eingabeblatt 2'!$E$14:$E$53,'Zusammenfassung Ergebnis'!D80))*(1+'Eingabeblatt 1'!$J$65)^'Zusammenfassung Ergebnis'!D100,"")</f>
        <v>371389.65138852032</v>
      </c>
      <c r="M100" s="349">
        <f>IF(A100&lt;='Eingabeblatt 1'!$D$18,SUM(G100:L100)+E100,"")</f>
        <v>-14240299.457312653</v>
      </c>
      <c r="N100" s="350">
        <f>IF(A100&lt;='Eingabeblatt 1'!$D$18,(E100+G100+H100+I100+J100+K100+L100)/(1+'Eingabeblatt 1'!$D$19)^D100,"")</f>
        <v>-4390550.1602212563</v>
      </c>
      <c r="O100" s="350">
        <f>IF(A100&lt;='Eingabeblatt 1'!$D$18,O99+N100,"")</f>
        <v>-74228571.784054577</v>
      </c>
      <c r="R100" s="351">
        <f>(((40-D100)/40*$Q$70))*('Eingabeblatt 1'!$D$20)+$Q$70/40</f>
        <v>79285.8</v>
      </c>
      <c r="S100" s="351">
        <f>SUMIFS('Eingabeblatt 2'!O14:O36,'Eingabeblatt 2'!E14:E36,30)*(1+'Eingabeblatt 1'!J65)^'Zusammenfassung Ergebnis'!D100</f>
        <v>0</v>
      </c>
      <c r="T100" s="351">
        <f>(((30-D71)/30*$S$100))*('Eingabeblatt 1'!$D$20)+$S$100/30</f>
        <v>0</v>
      </c>
      <c r="U100" s="351"/>
      <c r="V100" s="351">
        <f>(((20-D81)/20*$U$90))*('Eingabeblatt 1'!$D$20)+$U$90/20</f>
        <v>933160.01270022127</v>
      </c>
      <c r="W100" s="351">
        <f>(SUMIFS('Eingabeblatt 2'!O14:O36,'Eingabeblatt 2'!E14:E36,10))*(1+'Eingabeblatt 1'!J65)^'Zusammenfassung Ergebnis'!D100</f>
        <v>8558505.0657723118</v>
      </c>
      <c r="X100" s="354">
        <f>(((10-D71)/10*$W$100))*('Eingabeblatt 1'!$D$20)+$W$100/10</f>
        <v>1009903.5977611329</v>
      </c>
      <c r="Y100" s="354">
        <f t="shared" si="7"/>
        <v>2022349.4104613541</v>
      </c>
      <c r="AD100" s="342">
        <v>30</v>
      </c>
      <c r="AE100" s="352">
        <f t="shared" si="3"/>
        <v>-74228571.784054577</v>
      </c>
      <c r="AF100" s="352">
        <f t="shared" si="0"/>
        <v>-82063762.473906413</v>
      </c>
      <c r="AG100" s="352">
        <f t="shared" si="4"/>
        <v>-7835190.6898518354</v>
      </c>
      <c r="AH100" s="353">
        <f t="shared" si="1"/>
        <v>0</v>
      </c>
      <c r="AI100" s="342"/>
      <c r="AJ100" s="342"/>
      <c r="AK100" s="342">
        <f>IF(AE100&gt;0,IF(SUM(AK70:AK99)=0,AD100,0),0)</f>
        <v>0</v>
      </c>
      <c r="AL100" s="342">
        <f>IF(AF100&gt;0,IF(SUM(AL70:AL99)=0,AD100,0),0)</f>
        <v>0</v>
      </c>
      <c r="AO100" s="351">
        <f t="shared" si="8"/>
        <v>-2818949.1104588602</v>
      </c>
      <c r="AP100" s="351">
        <f t="shared" si="2"/>
        <v>-3569631.6437525423</v>
      </c>
      <c r="AQ100" s="351">
        <f t="shared" si="5"/>
        <v>750682.53329368215</v>
      </c>
    </row>
    <row r="101" spans="1:43" s="341" customFormat="1" ht="14.25" customHeight="1" x14ac:dyDescent="0.3">
      <c r="A101" s="345">
        <v>31</v>
      </c>
      <c r="C101" s="346">
        <f>IF(A101&lt;='Eingabeblatt 1'!$D$18,C100+1,"")</f>
        <v>2049</v>
      </c>
      <c r="D101" s="345">
        <f>IF(A101&lt;='Eingabeblatt 1'!$D$18,D100+1,"")</f>
        <v>31</v>
      </c>
      <c r="E101" s="354">
        <f>IF(A101&lt;='Eingabeblatt 1'!$D$18,IF(D101='Eingabeblatt 1'!$D$65,-'Eingabeblatt 1'!$L$65*(1+'Eingabeblatt 1'!$J$65)^D101,IF(D101='Eingabeblatt 1'!$D$66,-'Eingabeblatt 1'!$L$66*(1+'Eingabeblatt 1'!$J$66)^D101,IF(D101='Eingabeblatt 1'!$D$67,-'Eingabeblatt 1'!$L$67*(1+'Eingabeblatt 1'!$J$67)^D101,0))),"")</f>
        <v>0</v>
      </c>
      <c r="F101" s="354">
        <f t="shared" si="6"/>
        <v>-1988094.6989281108</v>
      </c>
      <c r="G101" s="347">
        <f>IF(A101&lt;='Eingabeblatt 1'!$D$18,IF(D101='Eingabeblatt 1'!$D$72,-('Eingabeblatt 1'!$L$71+'Eingabeblatt 1'!$L$72)*(1+'Eingabeblatt 1'!$J$71)^'Zusammenfassung Ergebnis'!D101,-('Eingabeblatt 1'!$L$71)*(1+'Eingabeblatt 1'!$J$71)^'Zusammenfassung Ergebnis'!D101),"")</f>
        <v>-775987.30262987642</v>
      </c>
      <c r="H101" s="347">
        <f>IF(A101&lt;='Eingabeblatt 1'!$D$18,H100*(1+'Eingabeblatt 1'!$J$73),"")</f>
        <v>-614058.93376412091</v>
      </c>
      <c r="I101" s="347">
        <f>IF(A101&lt;='Eingabeblatt 1'!$D$18,(-'Eingabeblatt 1'!$L$75*(1+'Eingabeblatt 1'!$J$75)^'Zusammenfassung Ergebnis'!D101)-('Eingabeblatt 1'!$L$76*(1+'Eingabeblatt 1'!$J$76)^'Zusammenfassung Ergebnis'!D101)-('Eingabeblatt 1'!$L$77*(1+'Eingabeblatt 1'!$J$77)^'Zusammenfassung Ergebnis'!D101),"")</f>
        <v>-203652.77540760726</v>
      </c>
      <c r="J101" s="347">
        <f>IF(A100&lt;='Eingabeblatt 1'!$D$18,'Eingabeblatt 1'!$D$81*(1+'Eingabeblatt 1'!$J$81)^'Zusammenfassung Ergebnis'!D101)</f>
        <v>6806.637022431175</v>
      </c>
      <c r="K101" s="348">
        <f>IF(A101&lt;='Eingabeblatt 1'!$D$18,'Eingabeblatt 1'!$L$15*(1+'Eingabeblatt 1'!$D$15)^D101,"")</f>
        <v>404776.00925143727</v>
      </c>
      <c r="L101" s="348">
        <f>IF(D101&lt;='Eingabeblatt 1'!$D$18,(SUMIFS('Eingabeblatt 2'!$Q$14:$Q$53,'Eingabeblatt 2'!$E$14:$E$53,'Zusammenfassung Ergebnis'!D101))*(1+'Eingabeblatt 1'!$J$65)^'Zusammenfassung Ergebnis'!D101,"")</f>
        <v>0</v>
      </c>
      <c r="M101" s="349">
        <f>IF(A101&lt;='Eingabeblatt 1'!$D$18,SUM(G101:L101)+E101,"")</f>
        <v>-1182116.365527736</v>
      </c>
      <c r="N101" s="350">
        <f>IF(A101&lt;='Eingabeblatt 1'!$D$18,(E101+G101+H101+I101+J101+K101+L101)/(1+'Eingabeblatt 1'!$D$19)^D101,"")</f>
        <v>-350450.522316435</v>
      </c>
      <c r="O101" s="350">
        <f>IF(A101&lt;='Eingabeblatt 1'!$D$18,O100+N101,"")</f>
        <v>-74579022.306371018</v>
      </c>
      <c r="R101" s="351">
        <f>(((40-D101)/40*$Q$70))*('Eingabeblatt 1'!$D$20)+$Q$70/40</f>
        <v>77964.37</v>
      </c>
      <c r="S101" s="351"/>
      <c r="T101" s="351">
        <f>(((30-D72)/30*$S$100))*('Eingabeblatt 1'!$D$20)+$S$100/30</f>
        <v>0</v>
      </c>
      <c r="U101" s="351"/>
      <c r="V101" s="351">
        <f>(((20-D82)/20*$U$90))*('Eingabeblatt 1'!$D$20)+$U$90/20</f>
        <v>917343.74129852268</v>
      </c>
      <c r="W101" s="351"/>
      <c r="X101" s="354">
        <f>(((10-D72)/10*$W$100))*('Eingabeblatt 1'!$D$20)+$W$100/10</f>
        <v>992786.5876295882</v>
      </c>
      <c r="Y101" s="354">
        <f t="shared" si="7"/>
        <v>1988094.6989281108</v>
      </c>
      <c r="AD101" s="342">
        <v>31</v>
      </c>
      <c r="AE101" s="352">
        <f t="shared" si="3"/>
        <v>-74579022.306371018</v>
      </c>
      <c r="AF101" s="352">
        <f t="shared" si="0"/>
        <v>-82542538.020065814</v>
      </c>
      <c r="AG101" s="352">
        <f t="shared" si="4"/>
        <v>-7963515.713694796</v>
      </c>
      <c r="AH101" s="353">
        <f t="shared" si="1"/>
        <v>0</v>
      </c>
      <c r="AI101" s="342"/>
      <c r="AJ101" s="342"/>
      <c r="AK101" s="342">
        <f>IF(AE101&gt;0,IF(SUM(AK70:AK100)=0,AD101,0),0)</f>
        <v>0</v>
      </c>
      <c r="AL101" s="342">
        <f>IF(AF101&gt;0,IF(SUM(AL70:AL100)=0,AD101,0),0)</f>
        <v>0</v>
      </c>
      <c r="AO101" s="351">
        <f t="shared" si="8"/>
        <v>-3170211.0644558473</v>
      </c>
      <c r="AP101" s="351">
        <f t="shared" si="2"/>
        <v>-3755047.2837721999</v>
      </c>
      <c r="AQ101" s="351">
        <f t="shared" si="5"/>
        <v>584836.21931635262</v>
      </c>
    </row>
    <row r="102" spans="1:43" s="341" customFormat="1" ht="14.25" customHeight="1" x14ac:dyDescent="0.3">
      <c r="A102" s="345">
        <v>32</v>
      </c>
      <c r="C102" s="346">
        <f>IF(A102&lt;='Eingabeblatt 1'!$D$18,C101+1,"")</f>
        <v>2050</v>
      </c>
      <c r="D102" s="345">
        <f>IF(A102&lt;='Eingabeblatt 1'!$D$18,D101+1,"")</f>
        <v>32</v>
      </c>
      <c r="E102" s="354">
        <f>IF(A102&lt;='Eingabeblatt 1'!$D$18,IF(D102='Eingabeblatt 1'!$D$65,-'Eingabeblatt 1'!$L$65*(1+'Eingabeblatt 1'!$J$65)^D102,IF(D102='Eingabeblatt 1'!$D$66,-'Eingabeblatt 1'!$L$66*(1+'Eingabeblatt 1'!$J$66)^D102,IF(D102='Eingabeblatt 1'!$D$67,-'Eingabeblatt 1'!$L$67*(1+'Eingabeblatt 1'!$J$67)^D102,0))),"")</f>
        <v>0</v>
      </c>
      <c r="F102" s="354">
        <f t="shared" si="6"/>
        <v>-1953839.9873948675</v>
      </c>
      <c r="G102" s="347">
        <f>IF(A102&lt;='Eingabeblatt 1'!$D$18,IF(D102='Eingabeblatt 1'!$D$72,-('Eingabeblatt 1'!$L$71+'Eingabeblatt 1'!$L$72)*(1+'Eingabeblatt 1'!$J$71)^'Zusammenfassung Ergebnis'!D102,-('Eingabeblatt 1'!$L$71)*(1+'Eingabeblatt 1'!$J$71)^'Zusammenfassung Ergebnis'!D102),"")</f>
        <v>-791507.04868247418</v>
      </c>
      <c r="H102" s="347">
        <f>IF(A102&lt;='Eingabeblatt 1'!$D$18,H101*(1+'Eingabeblatt 1'!$J$73),"")</f>
        <v>-627875.25977381365</v>
      </c>
      <c r="I102" s="347">
        <f>IF(A102&lt;='Eingabeblatt 1'!$D$18,(-'Eingabeblatt 1'!$L$75*(1+'Eingabeblatt 1'!$J$75)^'Zusammenfassung Ergebnis'!D102)-('Eingabeblatt 1'!$L$76*(1+'Eingabeblatt 1'!$J$76)^'Zusammenfassung Ergebnis'!D102)-('Eingabeblatt 1'!$L$77*(1+'Eingabeblatt 1'!$J$77)^'Zusammenfassung Ergebnis'!D102),"")</f>
        <v>-204693.14724169413</v>
      </c>
      <c r="J102" s="347">
        <f>IF(A101&lt;='Eingabeblatt 1'!$D$18,'Eingabeblatt 1'!$D$81*(1+'Eingabeblatt 1'!$J$81)^'Zusammenfassung Ergebnis'!D102)</f>
        <v>6874.7033926554877</v>
      </c>
      <c r="K102" s="348">
        <f>IF(A102&lt;='Eingabeblatt 1'!$D$18,'Eingabeblatt 1'!$L$15*(1+'Eingabeblatt 1'!$D$15)^D102,"")</f>
        <v>420967.04962149484</v>
      </c>
      <c r="L102" s="348">
        <f>IF(D102&lt;='Eingabeblatt 1'!$D$18,(SUMIFS('Eingabeblatt 2'!$Q$14:$Q$53,'Eingabeblatt 2'!$E$14:$E$53,'Zusammenfassung Ergebnis'!D102))*(1+'Eingabeblatt 1'!$J$65)^'Zusammenfassung Ergebnis'!D102,"")</f>
        <v>0</v>
      </c>
      <c r="M102" s="349">
        <f>IF(A102&lt;='Eingabeblatt 1'!$D$18,SUM(G102:L102)+E102,"")</f>
        <v>-1196233.7026838316</v>
      </c>
      <c r="N102" s="350">
        <f>IF(A102&lt;='Eingabeblatt 1'!$D$18,(E102+G102+H102+I102+J102+K102+L102)/(1+'Eingabeblatt 1'!$D$19)^D102,"")</f>
        <v>-340995.9151224033</v>
      </c>
      <c r="O102" s="350">
        <f>IF(A102&lt;='Eingabeblatt 1'!$D$18,O101+N102,"")</f>
        <v>-74920018.221493423</v>
      </c>
      <c r="R102" s="351">
        <f>(((40-D102)/40*$Q$70))*('Eingabeblatt 1'!$D$20)+$Q$70/40</f>
        <v>76642.94</v>
      </c>
      <c r="S102" s="351"/>
      <c r="T102" s="351">
        <f>(((30-D73)/30*$S$100))*('Eingabeblatt 1'!$D$20)+$S$100/30</f>
        <v>0</v>
      </c>
      <c r="U102" s="351"/>
      <c r="V102" s="351">
        <f>(((20-D83)/20*$U$90))*('Eingabeblatt 1'!$D$20)+$U$90/20</f>
        <v>901527.46989682398</v>
      </c>
      <c r="W102" s="351"/>
      <c r="X102" s="354">
        <f>(((10-D73)/10*$W$100))*('Eingabeblatt 1'!$D$20)+$W$100/10</f>
        <v>975669.57749804354</v>
      </c>
      <c r="Y102" s="354">
        <f t="shared" si="7"/>
        <v>1953839.9873948675</v>
      </c>
      <c r="AD102" s="342">
        <v>32</v>
      </c>
      <c r="AE102" s="352">
        <f t="shared" si="3"/>
        <v>-74920018.221493423</v>
      </c>
      <c r="AF102" s="352">
        <f t="shared" si="0"/>
        <v>-83011558.78934662</v>
      </c>
      <c r="AG102" s="352">
        <f t="shared" si="4"/>
        <v>-8091540.5678531975</v>
      </c>
      <c r="AH102" s="353">
        <f t="shared" si="1"/>
        <v>0</v>
      </c>
      <c r="AI102" s="342"/>
      <c r="AJ102" s="342"/>
      <c r="AK102" s="342">
        <f>IF(AE102&gt;0,IF(SUM(AK70:AK101)=0,AD102,0),0)</f>
        <v>0</v>
      </c>
      <c r="AL102" s="342">
        <f>IF(AF102&gt;0,IF(SUM(AL70:AL101)=0,AD102,0),0)</f>
        <v>0</v>
      </c>
      <c r="AO102" s="351">
        <f t="shared" si="8"/>
        <v>-3150073.6900786986</v>
      </c>
      <c r="AP102" s="351">
        <f t="shared" si="2"/>
        <v>-3748552.8879341776</v>
      </c>
      <c r="AQ102" s="351">
        <f t="shared" si="5"/>
        <v>598479.19785547908</v>
      </c>
    </row>
    <row r="103" spans="1:43" s="341" customFormat="1" ht="14.25" customHeight="1" x14ac:dyDescent="0.3">
      <c r="A103" s="345">
        <v>33</v>
      </c>
      <c r="C103" s="346">
        <f>IF(A103&lt;='Eingabeblatt 1'!$D$18,C102+1,"")</f>
        <v>2051</v>
      </c>
      <c r="D103" s="345">
        <f>IF(A103&lt;='Eingabeblatt 1'!$D$18,D102+1,"")</f>
        <v>33</v>
      </c>
      <c r="E103" s="354">
        <f>IF(A103&lt;='Eingabeblatt 1'!$D$18,IF(D103='Eingabeblatt 1'!$D$65,-'Eingabeblatt 1'!$L$65*(1+'Eingabeblatt 1'!$J$65)^D103,IF(D103='Eingabeblatt 1'!$D$66,-'Eingabeblatt 1'!$L$66*(1+'Eingabeblatt 1'!$J$66)^D103,IF(D103='Eingabeblatt 1'!$D$67,-'Eingabeblatt 1'!$L$67*(1+'Eingabeblatt 1'!$J$67)^D103,0))),"")</f>
        <v>0</v>
      </c>
      <c r="F103" s="354">
        <f t="shared" si="6"/>
        <v>-1919585.2758616242</v>
      </c>
      <c r="G103" s="347">
        <f>IF(A103&lt;='Eingabeblatt 1'!$D$18,IF(D103='Eingabeblatt 1'!$D$72,-('Eingabeblatt 1'!$L$71+'Eingabeblatt 1'!$L$72)*(1+'Eingabeblatt 1'!$J$71)^'Zusammenfassung Ergebnis'!D103,-('Eingabeblatt 1'!$L$71)*(1+'Eingabeblatt 1'!$J$71)^'Zusammenfassung Ergebnis'!D103),"")</f>
        <v>-807337.18965612364</v>
      </c>
      <c r="H103" s="347">
        <f>IF(A103&lt;='Eingabeblatt 1'!$D$18,H102*(1+'Eingabeblatt 1'!$J$73),"")</f>
        <v>-642002.4531187244</v>
      </c>
      <c r="I103" s="347">
        <f>IF(A103&lt;='Eingabeblatt 1'!$D$18,(-'Eingabeblatt 1'!$L$75*(1+'Eingabeblatt 1'!$J$75)^'Zusammenfassung Ergebnis'!D103)-('Eingabeblatt 1'!$L$76*(1+'Eingabeblatt 1'!$J$76)^'Zusammenfassung Ergebnis'!D103)-('Eingabeblatt 1'!$L$77*(1+'Eingabeblatt 1'!$J$77)^'Zusammenfassung Ergebnis'!D103),"")</f>
        <v>-205738.94201452192</v>
      </c>
      <c r="J103" s="347">
        <f>IF(A102&lt;='Eingabeblatt 1'!$D$18,'Eingabeblatt 1'!$D$81*(1+'Eingabeblatt 1'!$J$81)^'Zusammenfassung Ergebnis'!D103)</f>
        <v>6943.4504265820433</v>
      </c>
      <c r="K103" s="348">
        <f>IF(A103&lt;='Eingabeblatt 1'!$D$18,'Eingabeblatt 1'!$L$15*(1+'Eingabeblatt 1'!$D$15)^D103,"")</f>
        <v>437805.73160635459</v>
      </c>
      <c r="L103" s="348">
        <f>IF(D103&lt;='Eingabeblatt 1'!$D$18,(SUMIFS('Eingabeblatt 2'!$Q$14:$Q$53,'Eingabeblatt 2'!$E$14:$E$53,'Zusammenfassung Ergebnis'!D103))*(1+'Eingabeblatt 1'!$J$65)^'Zusammenfassung Ergebnis'!D103,"")</f>
        <v>0</v>
      </c>
      <c r="M103" s="349">
        <f>IF(A103&lt;='Eingabeblatt 1'!$D$18,SUM(G103:L103)+E103,"")</f>
        <v>-1210329.4027564335</v>
      </c>
      <c r="N103" s="350">
        <f>IF(A103&lt;='Eingabeblatt 1'!$D$18,(E103+G103+H103+I103+J103+K103+L103)/(1+'Eingabeblatt 1'!$D$19)^D103,"")</f>
        <v>-331744.23687390552</v>
      </c>
      <c r="O103" s="350">
        <f>IF(A103&lt;='Eingabeblatt 1'!$D$18,O102+N103,"")</f>
        <v>-75251762.458367333</v>
      </c>
      <c r="R103" s="351">
        <f>(((40-D103)/40*$Q$70))*('Eingabeblatt 1'!$D$20)+$Q$70/40</f>
        <v>75321.509999999995</v>
      </c>
      <c r="S103" s="351"/>
      <c r="T103" s="351">
        <f>(((30-D74)/30*$S$100))*('Eingabeblatt 1'!$D$20)+$S$100/30</f>
        <v>0</v>
      </c>
      <c r="U103" s="351"/>
      <c r="V103" s="351">
        <f>(((20-D84)/20*$U$90))*('Eingabeblatt 1'!$D$20)+$U$90/20</f>
        <v>885711.19849512528</v>
      </c>
      <c r="W103" s="351"/>
      <c r="X103" s="354">
        <f>(((10-D74)/10*$W$100))*('Eingabeblatt 1'!$D$20)+$W$100/10</f>
        <v>958552.56736649899</v>
      </c>
      <c r="Y103" s="354">
        <f t="shared" si="7"/>
        <v>1919585.2758616242</v>
      </c>
      <c r="AD103" s="342">
        <v>33</v>
      </c>
      <c r="AE103" s="352">
        <f t="shared" si="3"/>
        <v>-75251762.458367333</v>
      </c>
      <c r="AF103" s="352">
        <f t="shared" si="0"/>
        <v>-83471037.163027033</v>
      </c>
      <c r="AG103" s="352">
        <f t="shared" si="4"/>
        <v>-8219274.7046597004</v>
      </c>
      <c r="AH103" s="353">
        <f t="shared" si="1"/>
        <v>0</v>
      </c>
      <c r="AI103" s="342"/>
      <c r="AJ103" s="342"/>
      <c r="AK103" s="342">
        <f>IF(AE103&gt;0,IF(SUM(AK70:AK102)=0,AD103,0),0)</f>
        <v>0</v>
      </c>
      <c r="AL103" s="342">
        <f>IF(AF103&gt;0,IF(SUM(AL70:AL102)=0,AD103,0),0)</f>
        <v>0</v>
      </c>
      <c r="AO103" s="351">
        <f t="shared" si="8"/>
        <v>-3129914.6786180572</v>
      </c>
      <c r="AP103" s="351">
        <f t="shared" si="2"/>
        <v>-3742679.6715739523</v>
      </c>
      <c r="AQ103" s="351">
        <f t="shared" si="5"/>
        <v>612764.99295589514</v>
      </c>
    </row>
    <row r="104" spans="1:43" s="341" customFormat="1" ht="14.25" customHeight="1" x14ac:dyDescent="0.3">
      <c r="A104" s="345">
        <v>34</v>
      </c>
      <c r="C104" s="346">
        <f>IF(A104&lt;='Eingabeblatt 1'!$D$18,C103+1,"")</f>
        <v>2052</v>
      </c>
      <c r="D104" s="345">
        <f>IF(A104&lt;='Eingabeblatt 1'!$D$18,D103+1,"")</f>
        <v>34</v>
      </c>
      <c r="E104" s="354">
        <f>IF(A104&lt;='Eingabeblatt 1'!$D$18,IF(D104='Eingabeblatt 1'!$D$65,-'Eingabeblatt 1'!$L$65*(1+'Eingabeblatt 1'!$J$65)^D104,IF(D104='Eingabeblatt 1'!$D$66,-'Eingabeblatt 1'!$L$66*(1+'Eingabeblatt 1'!$J$66)^D104,IF(D104='Eingabeblatt 1'!$D$67,-'Eingabeblatt 1'!$L$67*(1+'Eingabeblatt 1'!$J$67)^D104,0))),"")</f>
        <v>0</v>
      </c>
      <c r="F104" s="354">
        <f t="shared" si="6"/>
        <v>-1885330.5643283809</v>
      </c>
      <c r="G104" s="347">
        <f>IF(A104&lt;='Eingabeblatt 1'!$D$18,IF(D104='Eingabeblatt 1'!$D$72,-('Eingabeblatt 1'!$L$71+'Eingabeblatt 1'!$L$72)*(1+'Eingabeblatt 1'!$J$71)^'Zusammenfassung Ergebnis'!D104,-('Eingabeblatt 1'!$L$71)*(1+'Eingabeblatt 1'!$J$71)^'Zusammenfassung Ergebnis'!D104),"")</f>
        <v>-823483.93344924611</v>
      </c>
      <c r="H104" s="347">
        <f>IF(A104&lt;='Eingabeblatt 1'!$D$18,H103*(1+'Eingabeblatt 1'!$J$73),"")</f>
        <v>-656447.50831389567</v>
      </c>
      <c r="I104" s="347">
        <f>IF(A104&lt;='Eingabeblatt 1'!$D$18,(-'Eingabeblatt 1'!$L$75*(1+'Eingabeblatt 1'!$J$75)^'Zusammenfassung Ergebnis'!D104)-('Eingabeblatt 1'!$L$76*(1+'Eingabeblatt 1'!$J$76)^'Zusammenfassung Ergebnis'!D104)-('Eingabeblatt 1'!$L$77*(1+'Eingabeblatt 1'!$J$77)^'Zusammenfassung Ergebnis'!D104),"")</f>
        <v>-206790.18905158003</v>
      </c>
      <c r="J104" s="347">
        <f>IF(A103&lt;='Eingabeblatt 1'!$D$18,'Eingabeblatt 1'!$D$81*(1+'Eingabeblatt 1'!$J$81)^'Zusammenfassung Ergebnis'!D104)</f>
        <v>7012.8849308478639</v>
      </c>
      <c r="K104" s="348">
        <f>IF(A104&lt;='Eingabeblatt 1'!$D$18,'Eingabeblatt 1'!$L$15*(1+'Eingabeblatt 1'!$D$15)^D104,"")</f>
        <v>455317.96087060886</v>
      </c>
      <c r="L104" s="348">
        <f>IF(D104&lt;='Eingabeblatt 1'!$D$18,(SUMIFS('Eingabeblatt 2'!$Q$14:$Q$53,'Eingabeblatt 2'!$E$14:$E$53,'Zusammenfassung Ergebnis'!D104))*(1+'Eingabeblatt 1'!$J$65)^'Zusammenfassung Ergebnis'!D104,"")</f>
        <v>0</v>
      </c>
      <c r="M104" s="349">
        <f>IF(A104&lt;='Eingabeblatt 1'!$D$18,SUM(G104:L104)+E104,"")</f>
        <v>-1224390.785013265</v>
      </c>
      <c r="N104" s="350">
        <f>IF(A104&lt;='Eingabeblatt 1'!$D$18,(E104+G104+H104+I104+J104+K104+L104)/(1+'Eingabeblatt 1'!$D$19)^D104,"")</f>
        <v>-322690.74982382503</v>
      </c>
      <c r="O104" s="350">
        <f>IF(A104&lt;='Eingabeblatt 1'!$D$18,O103+N104,"")</f>
        <v>-75574453.208191156</v>
      </c>
      <c r="R104" s="351">
        <f>(((40-D104)/40*$Q$70))*('Eingabeblatt 1'!$D$20)+$Q$70/40</f>
        <v>74000.08</v>
      </c>
      <c r="S104" s="351"/>
      <c r="T104" s="351">
        <f>(((30-D75)/30*$S$100))*('Eingabeblatt 1'!$D$20)+$S$100/30</f>
        <v>0</v>
      </c>
      <c r="U104" s="351"/>
      <c r="V104" s="351">
        <f>(((20-D85)/20*$U$90))*('Eingabeblatt 1'!$D$20)+$U$90/20</f>
        <v>869894.9270934267</v>
      </c>
      <c r="W104" s="351"/>
      <c r="X104" s="354">
        <f>(((10-D75)/10*$W$100))*('Eingabeblatt 1'!$D$20)+$W$100/10</f>
        <v>941435.55723495432</v>
      </c>
      <c r="Y104" s="354">
        <f t="shared" si="7"/>
        <v>1885330.5643283809</v>
      </c>
      <c r="AD104" s="342">
        <v>34</v>
      </c>
      <c r="AE104" s="352">
        <f t="shared" si="3"/>
        <v>-75574453.208191156</v>
      </c>
      <c r="AF104" s="352">
        <f t="shared" si="0"/>
        <v>-83921180.518687084</v>
      </c>
      <c r="AG104" s="352">
        <f t="shared" si="4"/>
        <v>-8346727.3104959279</v>
      </c>
      <c r="AH104" s="353">
        <f t="shared" si="1"/>
        <v>0</v>
      </c>
      <c r="AI104" s="342"/>
      <c r="AJ104" s="342"/>
      <c r="AK104" s="342">
        <f>IF(AE104&gt;0,IF(SUM(AK70:AK103)=0,AD104,0),0)</f>
        <v>0</v>
      </c>
      <c r="AL104" s="342">
        <f>IF(AF104&gt;0,IF(SUM(AL70:AL103)=0,AD104,0),0)</f>
        <v>0</v>
      </c>
      <c r="AO104" s="351">
        <f t="shared" si="8"/>
        <v>-3109721.3493416463</v>
      </c>
      <c r="AP104" s="351">
        <f t="shared" si="2"/>
        <v>-3737440.7315556784</v>
      </c>
      <c r="AQ104" s="351">
        <f t="shared" si="5"/>
        <v>627719.38221403211</v>
      </c>
    </row>
    <row r="105" spans="1:43" s="341" customFormat="1" ht="14.25" customHeight="1" x14ac:dyDescent="0.3">
      <c r="A105" s="345">
        <v>35</v>
      </c>
      <c r="C105" s="346">
        <f>IF(A105&lt;='Eingabeblatt 1'!$D$18,C104+1,"")</f>
        <v>2053</v>
      </c>
      <c r="D105" s="345">
        <f>IF(A105&lt;='Eingabeblatt 1'!$D$18,D104+1,"")</f>
        <v>35</v>
      </c>
      <c r="E105" s="354">
        <f>IF(A105&lt;='Eingabeblatt 1'!$D$18,IF(D105='Eingabeblatt 1'!$D$65,-'Eingabeblatt 1'!$L$65*(1+'Eingabeblatt 1'!$J$65)^D105,IF(D105='Eingabeblatt 1'!$D$66,-'Eingabeblatt 1'!$L$66*(1+'Eingabeblatt 1'!$J$66)^D105,IF(D105='Eingabeblatt 1'!$D$67,-'Eingabeblatt 1'!$L$67*(1+'Eingabeblatt 1'!$J$67)^D105,0))),"")</f>
        <v>0</v>
      </c>
      <c r="F105" s="354">
        <f t="shared" si="6"/>
        <v>-1851075.8527951378</v>
      </c>
      <c r="G105" s="347">
        <f>IF(A105&lt;='Eingabeblatt 1'!$D$18,IF(D105='Eingabeblatt 1'!$D$72,-('Eingabeblatt 1'!$L$71+'Eingabeblatt 1'!$L$72)*(1+'Eingabeblatt 1'!$J$71)^'Zusammenfassung Ergebnis'!D105,-('Eingabeblatt 1'!$L$71)*(1+'Eingabeblatt 1'!$J$71)^'Zusammenfassung Ergebnis'!D105),"")</f>
        <v>-839953.61211823102</v>
      </c>
      <c r="H105" s="347">
        <f>IF(A105&lt;='Eingabeblatt 1'!$D$18,H104*(1+'Eingabeblatt 1'!$J$73),"")</f>
        <v>-671217.5772509583</v>
      </c>
      <c r="I105" s="347">
        <f>IF(A105&lt;='Eingabeblatt 1'!$D$18,(-'Eingabeblatt 1'!$L$75*(1+'Eingabeblatt 1'!$J$75)^'Zusammenfassung Ergebnis'!D105)-('Eingabeblatt 1'!$L$76*(1+'Eingabeblatt 1'!$J$76)^'Zusammenfassung Ergebnis'!D105)-('Eingabeblatt 1'!$L$77*(1+'Eingabeblatt 1'!$J$77)^'Zusammenfassung Ergebnis'!D105),"")</f>
        <v>-207846.91784709334</v>
      </c>
      <c r="J105" s="347">
        <f>IF(A104&lt;='Eingabeblatt 1'!$D$18,'Eingabeblatt 1'!$D$81*(1+'Eingabeblatt 1'!$J$81)^'Zusammenfassung Ergebnis'!D105)</f>
        <v>7083.0137801563405</v>
      </c>
      <c r="K105" s="348">
        <f>IF(A105&lt;='Eingabeblatt 1'!$D$18,'Eingabeblatt 1'!$L$15*(1+'Eingabeblatt 1'!$D$15)^D105,"")</f>
        <v>473530.67930543324</v>
      </c>
      <c r="L105" s="348">
        <f>IF(D105&lt;='Eingabeblatt 1'!$D$18,(SUMIFS('Eingabeblatt 2'!$Q$14:$Q$53,'Eingabeblatt 2'!$E$14:$E$53,'Zusammenfassung Ergebnis'!D105))*(1+'Eingabeblatt 1'!$J$65)^'Zusammenfassung Ergebnis'!D105,"")</f>
        <v>0</v>
      </c>
      <c r="M105" s="349">
        <f>IF(A105&lt;='Eingabeblatt 1'!$D$18,SUM(G105:L105)+E105,"")</f>
        <v>-1238404.4141306931</v>
      </c>
      <c r="N105" s="350">
        <f>IF(A105&lt;='Eingabeblatt 1'!$D$18,(E105+G105+H105+I105+J105+K105+L105)/(1+'Eingabeblatt 1'!$D$19)^D105,"")</f>
        <v>-313830.83755768399</v>
      </c>
      <c r="O105" s="350">
        <f>IF(A105&lt;='Eingabeblatt 1'!$D$18,O104+N105,"")</f>
        <v>-75888284.045748845</v>
      </c>
      <c r="R105" s="351">
        <f>(((40-D105)/40*$Q$70))*('Eingabeblatt 1'!$D$20)+$Q$70/40</f>
        <v>72678.649999999994</v>
      </c>
      <c r="S105" s="351"/>
      <c r="T105" s="351">
        <f>(((30-D76)/30*$S$100))*('Eingabeblatt 1'!$D$20)+$S$100/30</f>
        <v>0</v>
      </c>
      <c r="U105" s="351"/>
      <c r="V105" s="351">
        <f>(((20-D86)/20*$U$90))*('Eingabeblatt 1'!$D$20)+$U$90/20</f>
        <v>854078.655691728</v>
      </c>
      <c r="W105" s="351"/>
      <c r="X105" s="354">
        <f>(((10-D76)/10*$W$100))*('Eingabeblatt 1'!$D$20)+$W$100/10</f>
        <v>924318.54710340977</v>
      </c>
      <c r="Y105" s="354">
        <f t="shared" si="7"/>
        <v>1851075.8527951378</v>
      </c>
      <c r="AD105" s="342">
        <v>35</v>
      </c>
      <c r="AE105" s="352">
        <f t="shared" si="3"/>
        <v>-75888284.045748845</v>
      </c>
      <c r="AF105" s="352">
        <f t="shared" si="0"/>
        <v>-84362191.358178899</v>
      </c>
      <c r="AG105" s="352">
        <f t="shared" si="4"/>
        <v>-8473907.3124300539</v>
      </c>
      <c r="AH105" s="353">
        <f t="shared" si="1"/>
        <v>0</v>
      </c>
      <c r="AI105" s="342"/>
      <c r="AJ105" s="342"/>
      <c r="AK105" s="342">
        <f>IF(AE105&gt;0,IF(SUM(AK70:AK104)=0,AD105,0),0)</f>
        <v>0</v>
      </c>
      <c r="AL105" s="342">
        <f>IF(AF105&gt;0,IF(SUM(AL70:AL104)=0,AD105,0),0)</f>
        <v>0</v>
      </c>
      <c r="AO105" s="351">
        <f t="shared" si="8"/>
        <v>-3089480.2669258309</v>
      </c>
      <c r="AP105" s="351">
        <f t="shared" si="2"/>
        <v>-3732849.4444948942</v>
      </c>
      <c r="AQ105" s="351">
        <f t="shared" si="5"/>
        <v>643369.17756906338</v>
      </c>
    </row>
    <row r="106" spans="1:43" s="341" customFormat="1" ht="14.25" customHeight="1" x14ac:dyDescent="0.3">
      <c r="A106" s="345">
        <v>36</v>
      </c>
      <c r="C106" s="346">
        <f>IF(A106&lt;='Eingabeblatt 1'!$D$18,C105+1,"")</f>
        <v>2054</v>
      </c>
      <c r="D106" s="345">
        <f>IF(A106&lt;='Eingabeblatt 1'!$D$18,D105+1,"")</f>
        <v>36</v>
      </c>
      <c r="E106" s="354">
        <f>IF(A106&lt;='Eingabeblatt 1'!$D$18,IF(D106='Eingabeblatt 1'!$D$65,-'Eingabeblatt 1'!$L$65*(1+'Eingabeblatt 1'!$J$65)^D106,IF(D106='Eingabeblatt 1'!$D$66,-'Eingabeblatt 1'!$L$66*(1+'Eingabeblatt 1'!$J$66)^D106,IF(D106='Eingabeblatt 1'!$D$67,-'Eingabeblatt 1'!$L$67*(1+'Eingabeblatt 1'!$J$67)^D106,0))),"")</f>
        <v>0</v>
      </c>
      <c r="F106" s="354">
        <f t="shared" si="6"/>
        <v>-1816821.1412618943</v>
      </c>
      <c r="G106" s="347">
        <f>IF(A106&lt;='Eingabeblatt 1'!$D$18,IF(D106='Eingabeblatt 1'!$D$72,-('Eingabeblatt 1'!$L$71+'Eingabeblatt 1'!$L$72)*(1+'Eingabeblatt 1'!$J$71)^'Zusammenfassung Ergebnis'!D106,-('Eingabeblatt 1'!$L$71)*(1+'Eingabeblatt 1'!$J$71)^'Zusammenfassung Ergebnis'!D106),"")</f>
        <v>-856752.68436059554</v>
      </c>
      <c r="H106" s="347">
        <f>IF(A106&lt;='Eingabeblatt 1'!$D$18,H105*(1+'Eingabeblatt 1'!$J$73),"")</f>
        <v>-686319.97273910488</v>
      </c>
      <c r="I106" s="347">
        <f>IF(A106&lt;='Eingabeblatt 1'!$D$18,(-'Eingabeblatt 1'!$L$75*(1+'Eingabeblatt 1'!$J$75)^'Zusammenfassung Ergebnis'!D106)-('Eingabeblatt 1'!$L$76*(1+'Eingabeblatt 1'!$J$76)^'Zusammenfassung Ergebnis'!D106)-('Eingabeblatt 1'!$L$77*(1+'Eingabeblatt 1'!$J$77)^'Zusammenfassung Ergebnis'!D106),"")</f>
        <v>-208909.15806508664</v>
      </c>
      <c r="J106" s="347">
        <f>IF(A105&lt;='Eingabeblatt 1'!$D$18,'Eingabeblatt 1'!$D$81*(1+'Eingabeblatt 1'!$J$81)^'Zusammenfassung Ergebnis'!D106)</f>
        <v>7153.8439179579045</v>
      </c>
      <c r="K106" s="348">
        <f>IF(A106&lt;='Eingabeblatt 1'!$D$18,'Eingabeblatt 1'!$L$15*(1+'Eingabeblatt 1'!$D$15)^D106,"")</f>
        <v>492471.90647765051</v>
      </c>
      <c r="L106" s="348">
        <f>IF(D106&lt;='Eingabeblatt 1'!$D$18,(SUMIFS('Eingabeblatt 2'!$Q$14:$Q$53,'Eingabeblatt 2'!$E$14:$E$53,'Zusammenfassung Ergebnis'!D106))*(1+'Eingabeblatt 1'!$J$65)^'Zusammenfassung Ergebnis'!D106,"")</f>
        <v>0</v>
      </c>
      <c r="M106" s="349">
        <f>IF(A106&lt;='Eingabeblatt 1'!$D$18,SUM(G106:L106)+E106,"")</f>
        <v>-1252356.0647691786</v>
      </c>
      <c r="N106" s="350">
        <f>IF(A106&lt;='Eingabeblatt 1'!$D$18,(E106+G106+H106+I106+J106+K106+L106)/(1+'Eingabeblatt 1'!$D$19)^D106,"")</f>
        <v>-305160.00160736399</v>
      </c>
      <c r="O106" s="350">
        <f>IF(A106&lt;='Eingabeblatt 1'!$D$18,O105+N106,"")</f>
        <v>-76193444.047356203</v>
      </c>
      <c r="R106" s="351">
        <f>(((40-D106)/40*$Q$70))*('Eingabeblatt 1'!$D$20)+$Q$70/40</f>
        <v>71357.22</v>
      </c>
      <c r="S106" s="351"/>
      <c r="T106" s="351">
        <f>(((30-D77)/30*$S$100))*('Eingabeblatt 1'!$D$20)+$S$100/30</f>
        <v>0</v>
      </c>
      <c r="U106" s="351"/>
      <c r="V106" s="351">
        <f>(((20-D87)/20*$U$90))*('Eingabeblatt 1'!$D$20)+$U$90/20</f>
        <v>838262.38429002929</v>
      </c>
      <c r="W106" s="351"/>
      <c r="X106" s="354">
        <f>(((10-D77)/10*$W$100))*('Eingabeblatt 1'!$D$20)+$W$100/10</f>
        <v>907201.53697186511</v>
      </c>
      <c r="Y106" s="354">
        <f t="shared" si="7"/>
        <v>1816821.1412618943</v>
      </c>
      <c r="AD106" s="342">
        <v>36</v>
      </c>
      <c r="AE106" s="352">
        <f t="shared" si="3"/>
        <v>-76193444.047356203</v>
      </c>
      <c r="AF106" s="352">
        <f t="shared" si="0"/>
        <v>-84794267.432072341</v>
      </c>
      <c r="AG106" s="352">
        <f t="shared" si="4"/>
        <v>-8600823.3847161382</v>
      </c>
      <c r="AH106" s="353">
        <f t="shared" si="1"/>
        <v>0</v>
      </c>
      <c r="AI106" s="342"/>
      <c r="AJ106" s="342"/>
      <c r="AK106" s="342">
        <f>IF(AE106&gt;0,IF(SUM(AK70:AK105)=0,AD106,0),0)</f>
        <v>0</v>
      </c>
      <c r="AL106" s="342">
        <f>IF(AF106&gt;0,IF(SUM(AL70:AL105)=0,AD106,0),0)</f>
        <v>0</v>
      </c>
      <c r="AO106" s="351">
        <f t="shared" si="8"/>
        <v>-3069177.2060310729</v>
      </c>
      <c r="AP106" s="351">
        <f t="shared" si="2"/>
        <v>-3728919.4727759976</v>
      </c>
      <c r="AQ106" s="351">
        <f t="shared" si="5"/>
        <v>659742.26674492471</v>
      </c>
    </row>
    <row r="107" spans="1:43" s="341" customFormat="1" ht="14.25" customHeight="1" x14ac:dyDescent="0.3">
      <c r="A107" s="345">
        <v>37</v>
      </c>
      <c r="C107" s="346">
        <f>IF(A107&lt;='Eingabeblatt 1'!$D$18,C106+1,"")</f>
        <v>2055</v>
      </c>
      <c r="D107" s="345">
        <f>IF(A107&lt;='Eingabeblatt 1'!$D$18,D106+1,"")</f>
        <v>37</v>
      </c>
      <c r="E107" s="354">
        <f>IF(A107&lt;='Eingabeblatt 1'!$D$18,IF(D107='Eingabeblatt 1'!$D$65,-'Eingabeblatt 1'!$L$65*(1+'Eingabeblatt 1'!$J$65)^D107,IF(D107='Eingabeblatt 1'!$D$66,-'Eingabeblatt 1'!$L$66*(1+'Eingabeblatt 1'!$J$66)^D107,IF(D107='Eingabeblatt 1'!$D$67,-'Eingabeblatt 1'!$L$67*(1+'Eingabeblatt 1'!$J$67)^D107,0))),"")</f>
        <v>0</v>
      </c>
      <c r="F107" s="354">
        <f t="shared" si="6"/>
        <v>-1782566.429728651</v>
      </c>
      <c r="G107" s="347">
        <f>IF(A107&lt;='Eingabeblatt 1'!$D$18,IF(D107='Eingabeblatt 1'!$D$72,-('Eingabeblatt 1'!$L$71+'Eingabeblatt 1'!$L$72)*(1+'Eingabeblatt 1'!$J$71)^'Zusammenfassung Ergebnis'!D107,-('Eingabeblatt 1'!$L$71)*(1+'Eingabeblatt 1'!$J$71)^'Zusammenfassung Ergebnis'!D107),"")</f>
        <v>-873887.73804780759</v>
      </c>
      <c r="H107" s="347">
        <f>IF(A107&lt;='Eingabeblatt 1'!$D$18,H106*(1+'Eingabeblatt 1'!$J$73),"")</f>
        <v>-701762.17212573474</v>
      </c>
      <c r="I107" s="347">
        <f>IF(A107&lt;='Eingabeblatt 1'!$D$18,(-'Eingabeblatt 1'!$L$75*(1+'Eingabeblatt 1'!$J$75)^'Zusammenfassung Ergebnis'!D107)-('Eingabeblatt 1'!$L$76*(1+'Eingabeblatt 1'!$J$76)^'Zusammenfassung Ergebnis'!D107)-('Eingabeblatt 1'!$L$77*(1+'Eingabeblatt 1'!$J$77)^'Zusammenfassung Ergebnis'!D107),"")</f>
        <v>-209976.93954045759</v>
      </c>
      <c r="J107" s="347">
        <f>IF(A106&lt;='Eingabeblatt 1'!$D$18,'Eingabeblatt 1'!$D$81*(1+'Eingabeblatt 1'!$J$81)^'Zusammenfassung Ergebnis'!D107)</f>
        <v>7225.3823571374842</v>
      </c>
      <c r="K107" s="348">
        <f>IF(A107&lt;='Eingabeblatt 1'!$D$18,'Eingabeblatt 1'!$L$15*(1+'Eingabeblatt 1'!$D$15)^D107,"")</f>
        <v>512170.78273675666</v>
      </c>
      <c r="L107" s="348">
        <f>IF(D107&lt;='Eingabeblatt 1'!$D$18,(SUMIFS('Eingabeblatt 2'!$Q$14:$Q$53,'Eingabeblatt 2'!$E$14:$E$53,'Zusammenfassung Ergebnis'!D107))*(1+'Eingabeblatt 1'!$J$65)^'Zusammenfassung Ergebnis'!D107,"")</f>
        <v>0</v>
      </c>
      <c r="M107" s="349">
        <f>IF(A107&lt;='Eingabeblatt 1'!$D$18,SUM(G107:L107)+E107,"")</f>
        <v>-1266230.6846201059</v>
      </c>
      <c r="N107" s="350">
        <f>IF(A107&lt;='Eingabeblatt 1'!$D$18,(E107+G107+H107+I107+J107+K107+L107)/(1+'Eingabeblatt 1'!$D$19)^D107,"")</f>
        <v>-296673.85816599795</v>
      </c>
      <c r="O107" s="350">
        <f>IF(A107&lt;='Eingabeblatt 1'!$D$18,O106+N107,"")</f>
        <v>-76490117.905522197</v>
      </c>
      <c r="R107" s="351">
        <f>(((40-D107)/40*$Q$70))*('Eingabeblatt 1'!$D$20)+$Q$70/40</f>
        <v>70035.789999999994</v>
      </c>
      <c r="S107" s="351"/>
      <c r="T107" s="351">
        <f>(((30-D78)/30*$S$100))*('Eingabeblatt 1'!$D$20)+$S$100/30</f>
        <v>0</v>
      </c>
      <c r="U107" s="351"/>
      <c r="V107" s="351">
        <f>(((20-D88)/20*$U$90))*('Eingabeblatt 1'!$D$20)+$U$90/20</f>
        <v>822446.11288833059</v>
      </c>
      <c r="W107" s="351"/>
      <c r="X107" s="354">
        <f>(((10-D78)/10*$W$100))*('Eingabeblatt 1'!$D$20)+$W$100/10</f>
        <v>890084.52684032044</v>
      </c>
      <c r="Y107" s="354">
        <f t="shared" si="7"/>
        <v>1782566.429728651</v>
      </c>
      <c r="AD107" s="342">
        <v>37</v>
      </c>
      <c r="AE107" s="352">
        <f t="shared" si="3"/>
        <v>-76490117.905522197</v>
      </c>
      <c r="AF107" s="352">
        <f t="shared" si="0"/>
        <v>-85217601.860678941</v>
      </c>
      <c r="AG107" s="352">
        <f t="shared" si="4"/>
        <v>-8727483.9551567435</v>
      </c>
      <c r="AH107" s="353">
        <f t="shared" si="1"/>
        <v>0</v>
      </c>
      <c r="AI107" s="342"/>
      <c r="AJ107" s="342"/>
      <c r="AK107" s="342">
        <f>IF(AE107&gt;0,IF(SUM(AK70:AK106)=0,AD107,0),0)</f>
        <v>0</v>
      </c>
      <c r="AL107" s="342">
        <f>IF(AF107&gt;0,IF(SUM(AL70:AL106)=0,AD107,0),0)</f>
        <v>0</v>
      </c>
      <c r="AO107" s="351">
        <f t="shared" si="8"/>
        <v>-3048797.1143487566</v>
      </c>
      <c r="AP107" s="351">
        <f t="shared" si="2"/>
        <v>-3725664.770699759</v>
      </c>
      <c r="AQ107" s="351">
        <f t="shared" si="5"/>
        <v>676867.6563510024</v>
      </c>
    </row>
    <row r="108" spans="1:43" s="341" customFormat="1" ht="14.25" customHeight="1" x14ac:dyDescent="0.3">
      <c r="A108" s="345">
        <v>38</v>
      </c>
      <c r="C108" s="346">
        <f>IF(A108&lt;='Eingabeblatt 1'!$D$18,C107+1,"")</f>
        <v>2056</v>
      </c>
      <c r="D108" s="345">
        <f>IF(A108&lt;='Eingabeblatt 1'!$D$18,D107+1,"")</f>
        <v>38</v>
      </c>
      <c r="E108" s="354">
        <f>IF(A108&lt;='Eingabeblatt 1'!$D$18,IF(D108='Eingabeblatt 1'!$D$65,-'Eingabeblatt 1'!$L$65*(1+'Eingabeblatt 1'!$J$65)^D108,IF(D108='Eingabeblatt 1'!$D$66,-'Eingabeblatt 1'!$L$66*(1+'Eingabeblatt 1'!$J$66)^D108,IF(D108='Eingabeblatt 1'!$D$67,-'Eingabeblatt 1'!$L$67*(1+'Eingabeblatt 1'!$J$67)^D108,0))),"")</f>
        <v>0</v>
      </c>
      <c r="F108" s="354">
        <f t="shared" si="6"/>
        <v>-1748311.7181954079</v>
      </c>
      <c r="G108" s="347">
        <f>IF(A108&lt;='Eingabeblatt 1'!$D$18,IF(D108='Eingabeblatt 1'!$D$72,-('Eingabeblatt 1'!$L$71+'Eingabeblatt 1'!$L$72)*(1+'Eingabeblatt 1'!$J$71)^'Zusammenfassung Ergebnis'!D108,-('Eingabeblatt 1'!$L$71)*(1+'Eingabeblatt 1'!$J$71)^'Zusammenfassung Ergebnis'!D108),"")</f>
        <v>-891365.49280876387</v>
      </c>
      <c r="H108" s="347">
        <f>IF(A108&lt;='Eingabeblatt 1'!$D$18,H107*(1+'Eingabeblatt 1'!$J$73),"")</f>
        <v>-717551.82099856378</v>
      </c>
      <c r="I108" s="347">
        <f>IF(A108&lt;='Eingabeblatt 1'!$D$18,(-'Eingabeblatt 1'!$L$75*(1+'Eingabeblatt 1'!$J$75)^'Zusammenfassung Ergebnis'!D108)-('Eingabeblatt 1'!$L$76*(1+'Eingabeblatt 1'!$J$76)^'Zusammenfassung Ergebnis'!D108)-('Eingabeblatt 1'!$L$77*(1+'Eingabeblatt 1'!$J$77)^'Zusammenfassung Ergebnis'!D108),"")</f>
        <v>-211050.29228005584</v>
      </c>
      <c r="J108" s="347">
        <f>IF(A107&lt;='Eingabeblatt 1'!$D$18,'Eingabeblatt 1'!$D$81*(1+'Eingabeblatt 1'!$J$81)^'Zusammenfassung Ergebnis'!D108)</f>
        <v>7297.6361807088597</v>
      </c>
      <c r="K108" s="348">
        <f>IF(A108&lt;='Eingabeblatt 1'!$D$18,'Eingabeblatt 1'!$L$15*(1+'Eingabeblatt 1'!$D$15)^D108,"")</f>
        <v>532657.61404622684</v>
      </c>
      <c r="L108" s="348">
        <f>IF(D108&lt;='Eingabeblatt 1'!$D$18,(SUMIFS('Eingabeblatt 2'!$Q$14:$Q$53,'Eingabeblatt 2'!$E$14:$E$53,'Zusammenfassung Ergebnis'!D108))*(1+'Eingabeblatt 1'!$J$65)^'Zusammenfassung Ergebnis'!D108,"")</f>
        <v>0</v>
      </c>
      <c r="M108" s="349">
        <f>IF(A108&lt;='Eingabeblatt 1'!$D$18,SUM(G108:L108)+E108,"")</f>
        <v>-1280012.355860448</v>
      </c>
      <c r="N108" s="350">
        <f>IF(A108&lt;='Eingabeblatt 1'!$D$18,(E108+G108+H108+I108+J108+K108+L108)/(1+'Eingabeblatt 1'!$D$19)^D108,"")</f>
        <v>-288368.13490086223</v>
      </c>
      <c r="O108" s="350">
        <f>IF(A108&lt;='Eingabeblatt 1'!$D$18,O107+N108,"")</f>
        <v>-76778486.040423065</v>
      </c>
      <c r="R108" s="351">
        <f>(((40-D108)/40*$Q$70))*('Eingabeblatt 1'!$D$20)+$Q$70/40</f>
        <v>68714.36</v>
      </c>
      <c r="S108" s="351"/>
      <c r="T108" s="351">
        <f>(((30-D79)/30*$S$100))*('Eingabeblatt 1'!$D$20)+$S$100/30</f>
        <v>0</v>
      </c>
      <c r="U108" s="351"/>
      <c r="V108" s="351">
        <f>(((20-D89)/20*$U$90))*('Eingabeblatt 1'!$D$20)+$U$90/20</f>
        <v>806629.84148663201</v>
      </c>
      <c r="W108" s="351"/>
      <c r="X108" s="354">
        <f>(((10-D79)/10*$W$100))*('Eingabeblatt 1'!$D$20)+$W$100/10</f>
        <v>872967.51670877589</v>
      </c>
      <c r="Y108" s="354">
        <f t="shared" si="7"/>
        <v>1748311.7181954079</v>
      </c>
      <c r="AD108" s="342">
        <v>38</v>
      </c>
      <c r="AE108" s="352">
        <f t="shared" si="3"/>
        <v>-76778486.040423065</v>
      </c>
      <c r="AF108" s="352">
        <f t="shared" si="0"/>
        <v>-85632383.25175409</v>
      </c>
      <c r="AG108" s="352">
        <f t="shared" si="4"/>
        <v>-8853897.2113310248</v>
      </c>
      <c r="AH108" s="353">
        <f t="shared" si="1"/>
        <v>0</v>
      </c>
      <c r="AI108" s="342"/>
      <c r="AJ108" s="342"/>
      <c r="AK108" s="342">
        <f>IF(AE108&gt;0,IF(SUM(AK70:AK107)=0,AD108,0),0)</f>
        <v>0</v>
      </c>
      <c r="AL108" s="342">
        <f>IF(AF108&gt;0,IF(SUM(AL70:AL107)=0,AD108,0),0)</f>
        <v>0</v>
      </c>
      <c r="AO108" s="351">
        <f t="shared" si="8"/>
        <v>-3028324.0740558561</v>
      </c>
      <c r="AP108" s="351">
        <f t="shared" si="2"/>
        <v>-3723099.5907637035</v>
      </c>
      <c r="AQ108" s="351">
        <f t="shared" si="5"/>
        <v>694775.51670784736</v>
      </c>
    </row>
    <row r="109" spans="1:43" s="341" customFormat="1" ht="14.25" customHeight="1" x14ac:dyDescent="0.3">
      <c r="A109" s="345">
        <v>39</v>
      </c>
      <c r="C109" s="346">
        <f>IF(A109&lt;='Eingabeblatt 1'!$D$18,C108+1,"")</f>
        <v>2057</v>
      </c>
      <c r="D109" s="345">
        <f>IF(A109&lt;='Eingabeblatt 1'!$D$18,D108+1,"")</f>
        <v>39</v>
      </c>
      <c r="E109" s="354">
        <f>IF(A109&lt;='Eingabeblatt 1'!$D$18,IF(D109='Eingabeblatt 1'!$D$65,-'Eingabeblatt 1'!$L$65*(1+'Eingabeblatt 1'!$J$65)^D109,IF(D109='Eingabeblatt 1'!$D$66,-'Eingabeblatt 1'!$L$66*(1+'Eingabeblatt 1'!$J$66)^D109,IF(D109='Eingabeblatt 1'!$D$67,-'Eingabeblatt 1'!$L$67*(1+'Eingabeblatt 1'!$J$67)^D109,0))),"")</f>
        <v>0</v>
      </c>
      <c r="F109" s="354">
        <f t="shared" si="6"/>
        <v>-1714057.0066621646</v>
      </c>
      <c r="G109" s="347">
        <f>IF(A109&lt;='Eingabeblatt 1'!$D$18,IF(D109='Eingabeblatt 1'!$D$72,-('Eingabeblatt 1'!$L$71+'Eingabeblatt 1'!$L$72)*(1+'Eingabeblatt 1'!$J$71)^'Zusammenfassung Ergebnis'!D109,-('Eingabeblatt 1'!$L$71)*(1+'Eingabeblatt 1'!$J$71)^'Zusammenfassung Ergebnis'!D109),"")</f>
        <v>-909192.80266493873</v>
      </c>
      <c r="H109" s="347">
        <f>IF(A109&lt;='Eingabeblatt 1'!$D$18,H108*(1+'Eingabeblatt 1'!$J$73),"")</f>
        <v>-733696.73697103141</v>
      </c>
      <c r="I109" s="347">
        <f>IF(A109&lt;='Eingabeblatt 1'!$D$18,(-'Eingabeblatt 1'!$L$75*(1+'Eingabeblatt 1'!$J$75)^'Zusammenfassung Ergebnis'!D109)-('Eingabeblatt 1'!$L$76*(1+'Eingabeblatt 1'!$J$76)^'Zusammenfassung Ergebnis'!D109)-('Eingabeblatt 1'!$L$77*(1+'Eingabeblatt 1'!$J$77)^'Zusammenfassung Ergebnis'!D109),"")</f>
        <v>-212129.24646377104</v>
      </c>
      <c r="J109" s="347">
        <f>IF(A108&lt;='Eingabeblatt 1'!$D$18,'Eingabeblatt 1'!$D$81*(1+'Eingabeblatt 1'!$J$81)^'Zusammenfassung Ergebnis'!D109)</f>
        <v>7370.6125425159462</v>
      </c>
      <c r="K109" s="348">
        <f>IF(A109&lt;='Eingabeblatt 1'!$D$18,'Eingabeblatt 1'!$L$15*(1+'Eingabeblatt 1'!$D$15)^D109,"")</f>
        <v>553963.91860807594</v>
      </c>
      <c r="L109" s="348">
        <f>IF(D109&lt;='Eingabeblatt 1'!$D$18,(SUMIFS('Eingabeblatt 2'!$Q$14:$Q$53,'Eingabeblatt 2'!$E$14:$E$53,'Zusammenfassung Ergebnis'!D109))*(1+'Eingabeblatt 1'!$J$65)^'Zusammenfassung Ergebnis'!D109,"")</f>
        <v>0</v>
      </c>
      <c r="M109" s="349">
        <f>IF(A109&lt;='Eingabeblatt 1'!$D$18,SUM(G109:L109)+E109,"")</f>
        <v>-1293684.2549491494</v>
      </c>
      <c r="N109" s="350">
        <f>IF(A109&lt;='Eingabeblatt 1'!$D$18,(E109+G109+H109+I109+J109+K109+L109)/(1+'Eingabeblatt 1'!$D$19)^D109,"")</f>
        <v>-280238.66786120093</v>
      </c>
      <c r="O109" s="350">
        <f>IF(A109&lt;='Eingabeblatt 1'!$D$18,O108+N109,"")</f>
        <v>-77058724.708284274</v>
      </c>
      <c r="R109" s="351">
        <f>(((40-D109)/40*$Q$70))*('Eingabeblatt 1'!$D$20)+$Q$70/40</f>
        <v>67392.929999999993</v>
      </c>
      <c r="S109" s="351"/>
      <c r="T109" s="351">
        <f>(((30-D80)/30*$S$100))*('Eingabeblatt 1'!$D$20)+$S$100/30</f>
        <v>0</v>
      </c>
      <c r="U109" s="351"/>
      <c r="V109" s="351">
        <f>(((20-D90)/20*$U$90))*('Eingabeblatt 1'!$D$20)+$U$90/20</f>
        <v>790813.57008493331</v>
      </c>
      <c r="W109" s="351"/>
      <c r="X109" s="354">
        <f>(((10-D80)/10*$W$100))*('Eingabeblatt 1'!$D$20)+$W$100/10</f>
        <v>855850.50657723122</v>
      </c>
      <c r="Y109" s="354">
        <f t="shared" si="7"/>
        <v>1714057.0066621646</v>
      </c>
      <c r="AD109" s="342">
        <v>39</v>
      </c>
      <c r="AE109" s="352">
        <f t="shared" si="3"/>
        <v>-77058724.708284274</v>
      </c>
      <c r="AF109" s="352">
        <f t="shared" si="0"/>
        <v>-86038795.814974159</v>
      </c>
      <c r="AG109" s="352">
        <f t="shared" si="4"/>
        <v>-8980071.1066898853</v>
      </c>
      <c r="AH109" s="353">
        <f t="shared" si="1"/>
        <v>0</v>
      </c>
      <c r="AI109" s="342"/>
      <c r="AJ109" s="342"/>
      <c r="AK109" s="342">
        <f>IF(AE109&gt;0,IF(SUM(AK70:AK108)=0,AD109,0),0)</f>
        <v>0</v>
      </c>
      <c r="AL109" s="342">
        <f>IF(AF109&gt;0,IF(SUM(AL70:AL108)=0,AD109,0),0)</f>
        <v>0</v>
      </c>
      <c r="AO109" s="351">
        <f t="shared" si="8"/>
        <v>-3007741.2616113136</v>
      </c>
      <c r="AP109" s="351">
        <f t="shared" si="2"/>
        <v>-3721238.490078243</v>
      </c>
      <c r="AQ109" s="351">
        <f t="shared" si="5"/>
        <v>713497.2284669294</v>
      </c>
    </row>
    <row r="110" spans="1:43" s="341" customFormat="1" ht="14.25" customHeight="1" x14ac:dyDescent="0.3">
      <c r="A110" s="345">
        <v>40</v>
      </c>
      <c r="C110" s="346">
        <f>IF(A110&lt;='Eingabeblatt 1'!$D$18,C109+1,"")</f>
        <v>2058</v>
      </c>
      <c r="D110" s="345">
        <f>IF(A110&lt;='Eingabeblatt 1'!$D$18,D109+1,"")</f>
        <v>40</v>
      </c>
      <c r="E110" s="354">
        <f>Ergebnis!E92</f>
        <v>-565810.16380130581</v>
      </c>
      <c r="F110" s="354">
        <f t="shared" si="6"/>
        <v>-1679802.295128921</v>
      </c>
      <c r="G110" s="347">
        <f>IF(A110&lt;='Eingabeblatt 1'!$D$18,IF(D110='Eingabeblatt 1'!$D$72,-('Eingabeblatt 1'!$L$71+'Eingabeblatt 1'!$L$72)*(1+'Eingabeblatt 1'!$J$71)^'Zusammenfassung Ergebnis'!D110,-('Eingabeblatt 1'!$L$71)*(1+'Eingabeblatt 1'!$J$71)^'Zusammenfassung Ergebnis'!D110),"")</f>
        <v>-927376.65871823777</v>
      </c>
      <c r="H110" s="347">
        <f>IF(A110&lt;='Eingabeblatt 1'!$D$18,H109*(1+'Eingabeblatt 1'!$J$73),"")</f>
        <v>-750204.91355287959</v>
      </c>
      <c r="I110" s="347">
        <f>IF(A110&lt;='Eingabeblatt 1'!$D$18,(-'Eingabeblatt 1'!$L$75*(1+'Eingabeblatt 1'!$J$75)^'Zusammenfassung Ergebnis'!D110)-('Eingabeblatt 1'!$L$76*(1+'Eingabeblatt 1'!$J$76)^'Zusammenfassung Ergebnis'!D110)-('Eingabeblatt 1'!$L$77*(1+'Eingabeblatt 1'!$J$77)^'Zusammenfassung Ergebnis'!D110),"")</f>
        <v>-213213.83244562795</v>
      </c>
      <c r="J110" s="347">
        <f>IF(A109&lt;='Eingabeblatt 1'!$D$18,'Eingabeblatt 1'!$D$81*(1+'Eingabeblatt 1'!$J$81)^'Zusammenfassung Ergebnis'!D110)</f>
        <v>7444.3186679411074</v>
      </c>
      <c r="K110" s="348">
        <f>IF(A110&lt;='Eingabeblatt 1'!$D$18,'Eingabeblatt 1'!$L$15*(1+'Eingabeblatt 1'!$D$15)^D110,"")</f>
        <v>576122.47535239917</v>
      </c>
      <c r="L110" s="348">
        <f>IF(D110&lt;='Eingabeblatt 1'!$D$18,(SUMIFS('Eingabeblatt 2'!$Q$14:$Q$53,'Eingabeblatt 2'!$E$14:$E$53,'Zusammenfassung Ergebnis'!D90)+SUMIFS('Eingabeblatt 2'!$Q$14:$Q$53,'Eingabeblatt 2'!$E$14:$E$53,'Zusammenfassung Ergebnis'!D80)+SUMIFS('Eingabeblatt 2'!$Q$14:$Q$53,'Eingabeblatt 2'!$E$14:$E$53,'Zusammenfassung Ergebnis'!D110))*(1+'Eingabeblatt 1'!$J$65)^'Zusammenfassung Ergebnis'!D110,"")</f>
        <v>1398060.1074125809</v>
      </c>
      <c r="M110" s="349">
        <f>IF(A110&lt;='Eingabeblatt 1'!$D$18,SUM(G110:L110)+E110,"")</f>
        <v>-474978.66708513012</v>
      </c>
      <c r="N110" s="350">
        <f>IF(A110&lt;='Eingabeblatt 1'!$D$18,(E110+G110+H110+I110+J110+K110+L110)/(1+'Eingabeblatt 1'!$D$19)^D110,"")</f>
        <v>-98932.852802438792</v>
      </c>
      <c r="O110" s="350">
        <f>IF(A110&lt;='Eingabeblatt 1'!$D$18,O109+N110,"")</f>
        <v>-77157657.561086714</v>
      </c>
      <c r="R110" s="351">
        <f>(((40-D110)/40*$Q$70))*('Eingabeblatt 1'!$D$20)+$Q$70/40</f>
        <v>66071.5</v>
      </c>
      <c r="S110" s="351"/>
      <c r="T110" s="351">
        <f>(((30-D81)/30*$S$100))*('Eingabeblatt 1'!$D$20)+$S$100/30</f>
        <v>0</v>
      </c>
      <c r="U110" s="351"/>
      <c r="V110" s="351">
        <f>(((20-D91)/20*$U$90))*('Eingabeblatt 1'!$D$20)+$U$90/20</f>
        <v>774997.29868323461</v>
      </c>
      <c r="W110" s="351"/>
      <c r="X110" s="354">
        <f>(((10-D81)/10*$W$100))*('Eingabeblatt 1'!$D$20)+$W$100/10</f>
        <v>838733.49644568656</v>
      </c>
      <c r="Y110" s="354">
        <f t="shared" si="7"/>
        <v>1679802.295128921</v>
      </c>
      <c r="AD110" s="342">
        <v>40</v>
      </c>
      <c r="AE110" s="352">
        <f t="shared" si="3"/>
        <v>-77157657.561086714</v>
      </c>
      <c r="AF110" s="352">
        <f t="shared" si="0"/>
        <v>-86693867.537016481</v>
      </c>
      <c r="AG110" s="352">
        <f t="shared" si="4"/>
        <v>-9536209.9759297669</v>
      </c>
      <c r="AH110" s="353">
        <f t="shared" si="1"/>
        <v>0</v>
      </c>
      <c r="AI110" s="342"/>
      <c r="AJ110" s="342"/>
      <c r="AK110" s="342">
        <f>IF(AE110&gt;0,IF(SUM(AK70:AK109)=0,AD110,0),0)</f>
        <v>0</v>
      </c>
      <c r="AL110" s="342">
        <f>IF(AF110&gt;0,IF(SUM(AL70:AL109)=0,AD110,0),0)</f>
        <v>0</v>
      </c>
      <c r="AO110" s="351">
        <f t="shared" si="8"/>
        <v>-1588970.7984127449</v>
      </c>
      <c r="AP110" s="351">
        <f t="shared" si="2"/>
        <v>-3562164.2010768177</v>
      </c>
      <c r="AQ110" s="351">
        <f t="shared" si="5"/>
        <v>1973193.4026640728</v>
      </c>
    </row>
    <row r="111" spans="1:43" s="341" customFormat="1" ht="14.25" customHeight="1" x14ac:dyDescent="0.3">
      <c r="K111" s="356">
        <f t="shared" ref="K111:O111" si="9">SUM(K70:K110)</f>
        <v>11854384.35916236</v>
      </c>
      <c r="L111" s="356">
        <f t="shared" si="9"/>
        <v>2920967.212499856</v>
      </c>
      <c r="M111" s="356">
        <f t="shared" si="9"/>
        <v>-131450808.74689899</v>
      </c>
      <c r="N111" s="356">
        <f t="shared" si="9"/>
        <v>-77157657.561086714</v>
      </c>
      <c r="O111" s="356">
        <f t="shared" si="9"/>
        <v>-2312278894.1417565</v>
      </c>
      <c r="X111" s="342"/>
      <c r="AG111" s="342"/>
      <c r="AH111" s="342"/>
      <c r="AI111" s="342"/>
      <c r="AJ111" s="342"/>
    </row>
    <row r="112" spans="1:43" s="341" customFormat="1" x14ac:dyDescent="0.3">
      <c r="X112" s="342"/>
      <c r="AG112" s="342"/>
      <c r="AH112" s="342"/>
      <c r="AI112" s="342"/>
      <c r="AJ112" s="342"/>
    </row>
    <row r="113" spans="1:36" s="341" customFormat="1" x14ac:dyDescent="0.3">
      <c r="X113" s="342"/>
      <c r="AG113" s="342"/>
      <c r="AH113" s="342"/>
      <c r="AI113" s="342"/>
      <c r="AJ113" s="342"/>
    </row>
    <row r="114" spans="1:36" s="341" customFormat="1" x14ac:dyDescent="0.3">
      <c r="C114" s="488" t="s">
        <v>195</v>
      </c>
      <c r="D114" s="488"/>
      <c r="E114" s="488"/>
      <c r="F114" s="488"/>
      <c r="G114" s="488"/>
      <c r="H114" s="488"/>
      <c r="I114" s="488"/>
      <c r="J114" s="488"/>
      <c r="K114" s="488"/>
      <c r="L114" s="488"/>
      <c r="M114" s="488"/>
      <c r="N114" s="488"/>
      <c r="O114" s="488"/>
      <c r="X114" s="342"/>
      <c r="AG114" s="342"/>
      <c r="AH114" s="342"/>
      <c r="AI114" s="342"/>
      <c r="AJ114" s="342"/>
    </row>
    <row r="115" spans="1:36" s="341" customFormat="1" ht="40.799999999999997" x14ac:dyDescent="0.3">
      <c r="C115" s="343" t="s">
        <v>2</v>
      </c>
      <c r="D115" s="343" t="s">
        <v>3</v>
      </c>
      <c r="E115" s="343" t="s">
        <v>4</v>
      </c>
      <c r="F115" s="343" t="s">
        <v>42</v>
      </c>
      <c r="G115" s="343" t="s">
        <v>5</v>
      </c>
      <c r="H115" s="343" t="s">
        <v>6</v>
      </c>
      <c r="I115" s="343" t="s">
        <v>192</v>
      </c>
      <c r="J115" s="343" t="s">
        <v>40</v>
      </c>
      <c r="K115" s="343" t="s">
        <v>28</v>
      </c>
      <c r="L115" s="343" t="s">
        <v>29</v>
      </c>
      <c r="M115" s="343" t="s">
        <v>1</v>
      </c>
      <c r="N115" s="343" t="s">
        <v>196</v>
      </c>
      <c r="O115" s="343" t="s">
        <v>197</v>
      </c>
      <c r="Q115" s="344" t="s">
        <v>44</v>
      </c>
      <c r="R115" s="343" t="s">
        <v>48</v>
      </c>
      <c r="S115" s="344" t="s">
        <v>45</v>
      </c>
      <c r="T115" s="344" t="s">
        <v>49</v>
      </c>
      <c r="U115" s="344" t="s">
        <v>46</v>
      </c>
      <c r="V115" s="344" t="s">
        <v>50</v>
      </c>
      <c r="W115" s="344" t="s">
        <v>47</v>
      </c>
      <c r="X115" s="344" t="s">
        <v>51</v>
      </c>
      <c r="Y115" s="343" t="s">
        <v>41</v>
      </c>
      <c r="AG115" s="342"/>
      <c r="AH115" s="342"/>
      <c r="AI115" s="342"/>
      <c r="AJ115" s="342"/>
    </row>
    <row r="116" spans="1:36" s="341" customFormat="1" x14ac:dyDescent="0.3">
      <c r="A116" s="345">
        <v>0</v>
      </c>
      <c r="C116" s="346">
        <f>IF(A116&lt;='Eingabeblatt 1'!D18,2018,"")</f>
        <v>2018</v>
      </c>
      <c r="D116" s="345">
        <f>IF(A116&lt;='Eingabeblatt 1'!$D$18,0,"")</f>
        <v>0</v>
      </c>
      <c r="E116" s="347">
        <f>IF(A98&lt;='Eingabeblatt 1'!$D$18,IF(D98='Eingabeblatt 1'!D34,-'Eingabeblatt 1'!L34-'Eingabeblatt 2'!I39,-'Eingabeblatt 1'!F33),"")</f>
        <v>-30652634.039999999</v>
      </c>
      <c r="F116" s="347"/>
      <c r="G116" s="347"/>
      <c r="H116" s="347"/>
      <c r="I116" s="347"/>
      <c r="J116" s="347"/>
      <c r="K116" s="348"/>
      <c r="L116" s="348"/>
      <c r="M116" s="349">
        <f>IF(A116&lt;='Eingabeblatt 1'!$D$18,SUM(G116:L116)+E116,"")</f>
        <v>-30652634.039999999</v>
      </c>
      <c r="N116" s="350">
        <f>IF(A116&lt;='Eingabeblatt 1'!$D$18,(E116+G116+I116+H116+J116+K116+L116)/(1+'Eingabeblatt 1'!$D$19)^D116,"")</f>
        <v>-30652634.039999999</v>
      </c>
      <c r="O116" s="350">
        <f>IF(A116&lt;='Eingabeblatt 1'!$D$18,N116,"")</f>
        <v>-30652634.039999999</v>
      </c>
      <c r="Q116" s="351">
        <f>SUMIFS('Eingabeblatt 2'!I14:I37,'Eingabeblatt 2'!E14:E37,40)</f>
        <v>2877000</v>
      </c>
      <c r="S116" s="347">
        <f>SUMIFS('Eingabeblatt 2'!I14:I37,'Eingabeblatt 2'!E14:E37,30)</f>
        <v>0</v>
      </c>
      <c r="U116" s="351">
        <f>SUMIFS('Eingabeblatt 2'!I14:I37,'Eingabeblatt 2'!E14:E37,20)</f>
        <v>9293620</v>
      </c>
      <c r="W116" s="351">
        <f>SUMIFS('Eingabeblatt 2'!I14:I37,'Eingabeblatt 2'!E14:E37,10)</f>
        <v>5969180</v>
      </c>
      <c r="X116" s="342"/>
      <c r="Y116" s="347"/>
      <c r="AG116" s="342"/>
      <c r="AH116" s="342"/>
      <c r="AI116" s="342"/>
      <c r="AJ116" s="342"/>
    </row>
    <row r="117" spans="1:36" s="341" customFormat="1" x14ac:dyDescent="0.3">
      <c r="A117" s="345">
        <v>1</v>
      </c>
      <c r="C117" s="346">
        <f>IF(A117&lt;='Eingabeblatt 1'!$D$18,C116+1,"")</f>
        <v>2019</v>
      </c>
      <c r="D117" s="345">
        <f>IF(A117&lt;='Eingabeblatt 1'!$D$18,D116+1,"")</f>
        <v>1</v>
      </c>
      <c r="E117" s="354">
        <f>IF(A117&lt;='Eingabeblatt 1'!$D$18,IF(D117='Eingabeblatt 1'!$D$34,-'Eingabeblatt 1'!$L$34*(1+'Eingabeblatt 1'!$J$34)^D117,IF(D117='Eingabeblatt 1'!$D$35,-'Eingabeblatt 1'!$L$35*(1+'Eingabeblatt 1'!$J$35)^D117,IF(D117='Eingabeblatt 1'!$D$36,-'Eingabeblatt 1'!$L$36*(1+'Eingabeblatt 1'!$J$36)^D117,0))),"")</f>
        <v>0</v>
      </c>
      <c r="F117" s="354">
        <f>-Y117</f>
        <v>-1473649.52</v>
      </c>
      <c r="G117" s="347">
        <f>IF(A117&lt;='Eingabeblatt 1'!$D$18,IF(D117='Eingabeblatt 1'!$D$41,-('Eingabeblatt 1'!$L$40+'Eingabeblatt 1'!$L$41)*(1+'Eingabeblatt 1'!$J$40)^D117,-('Eingabeblatt 1'!$L$40)*(1+'Eingabeblatt 1'!$J$40)^D117),"")</f>
        <v>-357000</v>
      </c>
      <c r="H117" s="347">
        <f>IF(A117&lt;='Eingabeblatt 1'!$D$18,-'Eingabeblatt 1'!L42,"")</f>
        <v>-350000</v>
      </c>
      <c r="I117" s="347">
        <f>IF(A117&lt;='Eingabeblatt 1'!$D$18,(-'Eingabeblatt 1'!$L$45*(1+'Eingabeblatt 1'!$J$45)^'Zusammenfassung Ergebnis'!D117)-('Eingabeblatt 1'!$L$46*(1+'Eingabeblatt 1'!$J$46)^'Zusammenfassung Ergebnis'!D117)-('Eingabeblatt 1'!$L$47*(1+'Eingabeblatt 1'!$J$47)^'Zusammenfassung Ergebnis'!D117),"")</f>
        <v>-230465.89859999999</v>
      </c>
      <c r="J117" s="347">
        <f>IF(A117&lt;='Eingabeblatt 1'!$D$18,'Eingabeblatt 1'!D50+'Eingabeblatt 1'!D51,"")</f>
        <v>0</v>
      </c>
      <c r="K117" s="348">
        <v>0</v>
      </c>
      <c r="L117" s="348">
        <f>IF(D117&lt;='Eingabeblatt 1'!$D$18,(SUMIFS('Eingabeblatt 2'!$K$14:$K$53,'Eingabeblatt 2'!$E$14:$E$53,'Zusammenfassung Ergebnis'!D117))*(1+'Eingabeblatt 1'!$J$34)^'Zusammenfassung Ergebnis'!D117,"")</f>
        <v>0</v>
      </c>
      <c r="M117" s="349">
        <f>IF(A117&lt;='Eingabeblatt 1'!$D$18,SUM(G117:L117)+E117,"")</f>
        <v>-937465.89859999996</v>
      </c>
      <c r="N117" s="350">
        <f>IF(A117&lt;='Eingabeblatt 1'!$D$18,(E117+G117+I117+H117+J117+K117+L117)/(1+'Eingabeblatt 1'!$D$19)^D117,"")</f>
        <v>-901409.51788461534</v>
      </c>
      <c r="O117" s="350">
        <f>IF(A117&lt;='Eingabeblatt 1'!$D$18,O116+N117,"")</f>
        <v>-31554043.557884615</v>
      </c>
      <c r="R117" s="351">
        <f>(((40-D117)/40*$Q$116))*('Eingabeblatt 1'!$D$20)+$Q$116/40</f>
        <v>128026.5</v>
      </c>
      <c r="S117" s="351"/>
      <c r="T117" s="351">
        <f>(((30-D117)/30*$S$116))*('Eingabeblatt 1'!$D$20)+$S$116/30</f>
        <v>0</v>
      </c>
      <c r="U117" s="351"/>
      <c r="V117" s="351">
        <f>(((20-D117)/20*$U$116))*('Eingabeblatt 1'!$D$20)+$U$116/20</f>
        <v>641259.78</v>
      </c>
      <c r="W117" s="351"/>
      <c r="X117" s="351">
        <f>(((10-D117)/10*$W$116))*('Eingabeblatt 1'!$D$20)+$W$116/10</f>
        <v>704363.24</v>
      </c>
      <c r="Y117" s="354">
        <f>R117+T117+V117+X117</f>
        <v>1473649.52</v>
      </c>
      <c r="AG117" s="342"/>
      <c r="AH117" s="342"/>
      <c r="AI117" s="342"/>
      <c r="AJ117" s="342"/>
    </row>
    <row r="118" spans="1:36" s="341" customFormat="1" x14ac:dyDescent="0.3">
      <c r="A118" s="345">
        <v>2</v>
      </c>
      <c r="B118" s="355"/>
      <c r="C118" s="346">
        <f>IF(A118&lt;='Eingabeblatt 1'!$D$18,C117+1,"")</f>
        <v>2020</v>
      </c>
      <c r="D118" s="345">
        <f>IF(A118&lt;='Eingabeblatt 1'!$D$18,D117+1,"")</f>
        <v>2</v>
      </c>
      <c r="E118" s="354">
        <f>IF(A118&lt;='Eingabeblatt 1'!$D$18,IF(D118='Eingabeblatt 1'!$D$34,-'Eingabeblatt 1'!$L$34*(1+'Eingabeblatt 1'!$J$34)^D118,IF(D118='Eingabeblatt 1'!$D$35,-'Eingabeblatt 1'!$L$35*(1+'Eingabeblatt 1'!$J$35)^D118,IF(D118='Eingabeblatt 1'!$D$36,-'Eingabeblatt 1'!$L$36*(1+'Eingabeblatt 1'!$J$36)^D118,0))),"")</f>
        <v>0</v>
      </c>
      <c r="F118" s="354">
        <f t="shared" ref="F118:F156" si="10">-Y118</f>
        <v>-1450979.04</v>
      </c>
      <c r="G118" s="347">
        <f>IF(A118&lt;='Eingabeblatt 1'!$D$18,IF(D118='Eingabeblatt 1'!$D$41,-('Eingabeblatt 1'!$L$40+'Eingabeblatt 1'!$L$41)*(1+'Eingabeblatt 1'!$J$40)^D118,-('Eingabeblatt 1'!$L$40)*(1+'Eingabeblatt 1'!$J$40)^D118),"")</f>
        <v>-364140</v>
      </c>
      <c r="H118" s="347">
        <f>IF(A118&lt;='Eingabeblatt 1'!$D$18,H117*(1+'Eingabeblatt 1'!$J$42),"")</f>
        <v>-357875</v>
      </c>
      <c r="I118" s="347">
        <f>IF(A118&lt;='Eingabeblatt 1'!$D$18,(-'Eingabeblatt 1'!$L$45*(1+'Eingabeblatt 1'!$J$45)^'Zusammenfassung Ergebnis'!D118)-('Eingabeblatt 1'!$L$46*(1+'Eingabeblatt 1'!$J$46)^'Zusammenfassung Ergebnis'!D118)-('Eingabeblatt 1'!$L$47*(1+'Eingabeblatt 1'!$J$47)^'Zusammenfassung Ergebnis'!D118),"")</f>
        <v>-232110.77307599998</v>
      </c>
      <c r="J118" s="347">
        <f>IF(A117&lt;='Eingabeblatt 1'!$D$18,'Eingabeblatt 1'!$D$51*(1+'Eingabeblatt 1'!$J$51)^'Zusammenfassung Ergebnis'!D118,"")</f>
        <v>0</v>
      </c>
      <c r="K118" s="348">
        <f>K117</f>
        <v>0</v>
      </c>
      <c r="L118" s="348">
        <f>IF(D118&lt;='Eingabeblatt 1'!$D$18,(SUMIFS('Eingabeblatt 2'!$K$14:$K$53,'Eingabeblatt 2'!$E$14:$E$53,'Zusammenfassung Ergebnis'!D118))*(1+'Eingabeblatt 1'!$J$34)^'Zusammenfassung Ergebnis'!D118,"")</f>
        <v>0</v>
      </c>
      <c r="M118" s="349">
        <f>IF(A118&lt;='Eingabeblatt 1'!$D$18,SUM(G118:L118)+E118,"")</f>
        <v>-954125.77307599992</v>
      </c>
      <c r="N118" s="350">
        <f>IF(A118&lt;='Eingabeblatt 1'!$D$18,(E118+G118+I118+H118+J118+K118+L118)/(1+'Eingabeblatt 1'!$D$19)^D118,"")</f>
        <v>-882142.91149778094</v>
      </c>
      <c r="O118" s="350">
        <f>IF(A118&lt;='Eingabeblatt 1'!$D$18,O117+N118,"")</f>
        <v>-32436186.469382394</v>
      </c>
      <c r="R118" s="351">
        <f>(((40-D118)/40*$Q$116))*('Eingabeblatt 1'!$D$20)+$Q$116/40</f>
        <v>126588</v>
      </c>
      <c r="S118" s="351"/>
      <c r="T118" s="351">
        <f>(((30-D118)/30*$S$116))*('Eingabeblatt 1'!$D$20)+$S$116/30</f>
        <v>0</v>
      </c>
      <c r="U118" s="351"/>
      <c r="V118" s="351">
        <f>(((20-D118)/20*$U$116))*('Eingabeblatt 1'!$D$20)+$U$116/20</f>
        <v>631966.16</v>
      </c>
      <c r="W118" s="351"/>
      <c r="X118" s="351">
        <f>(((10-D118)/10*$W$116))*('Eingabeblatt 1'!$D$20)+$W$116/10</f>
        <v>692424.88</v>
      </c>
      <c r="Y118" s="354">
        <f t="shared" ref="Y118:Y156" si="11">R118+T118+V118+X118</f>
        <v>1450979.04</v>
      </c>
      <c r="AG118" s="342"/>
      <c r="AH118" s="342"/>
      <c r="AI118" s="342"/>
      <c r="AJ118" s="342"/>
    </row>
    <row r="119" spans="1:36" s="341" customFormat="1" x14ac:dyDescent="0.3">
      <c r="A119" s="345">
        <v>3</v>
      </c>
      <c r="C119" s="346">
        <f>IF(A119&lt;='Eingabeblatt 1'!$D$18,C118+1,"")</f>
        <v>2021</v>
      </c>
      <c r="D119" s="345">
        <f>IF(A119&lt;='Eingabeblatt 1'!$D$18,D118+1,"")</f>
        <v>3</v>
      </c>
      <c r="E119" s="354">
        <f>IF(A119&lt;='Eingabeblatt 1'!$D$18,IF(D119='Eingabeblatt 1'!$D$34,-'Eingabeblatt 1'!$L$34*(1+'Eingabeblatt 1'!$J$34)^D119,IF(D119='Eingabeblatt 1'!$D$35,-'Eingabeblatt 1'!$L$35*(1+'Eingabeblatt 1'!$J$35)^D119,IF(D119='Eingabeblatt 1'!$D$36,-'Eingabeblatt 1'!$L$36*(1+'Eingabeblatt 1'!$J$36)^D119,0))),"")</f>
        <v>0</v>
      </c>
      <c r="F119" s="354">
        <f t="shared" si="10"/>
        <v>-1428308.56</v>
      </c>
      <c r="G119" s="347">
        <f>IF(A119&lt;='Eingabeblatt 1'!$D$18,IF(D119='Eingabeblatt 1'!$D$41,-('Eingabeblatt 1'!$L$40+'Eingabeblatt 1'!$L$41)*(1+'Eingabeblatt 1'!$J$40)^D119,-('Eingabeblatt 1'!$L$40)*(1+'Eingabeblatt 1'!$J$40)^D119),"")</f>
        <v>-371422.8</v>
      </c>
      <c r="H119" s="347">
        <f>IF(A119&lt;='Eingabeblatt 1'!$D$18,H118*(1+'Eingabeblatt 1'!$J$42),"")</f>
        <v>-365927.1875</v>
      </c>
      <c r="I119" s="347">
        <f>IF(A119&lt;='Eingabeblatt 1'!$D$18,(-'Eingabeblatt 1'!$L$45*(1+'Eingabeblatt 1'!$J$45)^'Zusammenfassung Ergebnis'!D119)-('Eingabeblatt 1'!$L$46*(1+'Eingabeblatt 1'!$J$46)^'Zusammenfassung Ergebnis'!D119)-('Eingabeblatt 1'!$L$47*(1+'Eingabeblatt 1'!$J$47)^'Zusammenfassung Ergebnis'!D119),"")</f>
        <v>-233768.79737420997</v>
      </c>
      <c r="J119" s="347">
        <f>IF(A118&lt;='Eingabeblatt 1'!$D$18,'Eingabeblatt 1'!$D$51*(1+'Eingabeblatt 1'!$J$51)^'Zusammenfassung Ergebnis'!D119,"")</f>
        <v>0</v>
      </c>
      <c r="K119" s="348">
        <f t="shared" ref="K119:K156" si="12">K118</f>
        <v>0</v>
      </c>
      <c r="L119" s="348">
        <f>IF(D119&lt;='Eingabeblatt 1'!$D$18,(SUMIFS('Eingabeblatt 2'!$K$14:$K$53,'Eingabeblatt 2'!$E$14:$E$53,'Zusammenfassung Ergebnis'!D119))*(1+'Eingabeblatt 1'!$J$34)^'Zusammenfassung Ergebnis'!D119,"")</f>
        <v>0</v>
      </c>
      <c r="M119" s="349">
        <f>IF(A119&lt;='Eingabeblatt 1'!$D$18,SUM(G119:L119)+E119,"")</f>
        <v>-971118.78487421002</v>
      </c>
      <c r="N119" s="350">
        <f>IF(A119&lt;='Eingabeblatt 1'!$D$18,(E119+G119+I119+H119+J119+K119+L119)/(1+'Eingabeblatt 1'!$D$19)^D119,"")</f>
        <v>-863321.06359009608</v>
      </c>
      <c r="O119" s="350">
        <f>IF(A119&lt;='Eingabeblatt 1'!$D$18,O118+N119,"")</f>
        <v>-33299507.532972489</v>
      </c>
      <c r="R119" s="351">
        <f>(((40-D119)/40*$Q$116))*('Eingabeblatt 1'!$D$20)+$Q$116/40</f>
        <v>125149.5</v>
      </c>
      <c r="S119" s="351"/>
      <c r="T119" s="351">
        <f>(((30-D119)/30*$S$116))*('Eingabeblatt 1'!$D$20)+$S$116/30</f>
        <v>0</v>
      </c>
      <c r="U119" s="351"/>
      <c r="V119" s="351">
        <f>(((20-D119)/20*$U$116))*('Eingabeblatt 1'!$D$20)+$U$116/20</f>
        <v>622672.54</v>
      </c>
      <c r="W119" s="351"/>
      <c r="X119" s="351">
        <f>(((10-D119)/10*$W$116))*('Eingabeblatt 1'!$D$20)+$W$116/10</f>
        <v>680486.52</v>
      </c>
      <c r="Y119" s="354">
        <f t="shared" si="11"/>
        <v>1428308.56</v>
      </c>
      <c r="AG119" s="342"/>
      <c r="AH119" s="342"/>
      <c r="AI119" s="342"/>
      <c r="AJ119" s="342"/>
    </row>
    <row r="120" spans="1:36" s="341" customFormat="1" x14ac:dyDescent="0.3">
      <c r="A120" s="345">
        <v>4</v>
      </c>
      <c r="C120" s="346">
        <f>IF(A120&lt;='Eingabeblatt 1'!$D$18,C119+1,"")</f>
        <v>2022</v>
      </c>
      <c r="D120" s="345">
        <f>IF(A120&lt;='Eingabeblatt 1'!$D$18,D119+1,"")</f>
        <v>4</v>
      </c>
      <c r="E120" s="354">
        <f>IF(A120&lt;='Eingabeblatt 1'!$D$18,IF(D120='Eingabeblatt 1'!$D$34,-'Eingabeblatt 1'!$L$34*(1+'Eingabeblatt 1'!$J$34)^D120,IF(D120='Eingabeblatt 1'!$D$35,-'Eingabeblatt 1'!$L$35*(1+'Eingabeblatt 1'!$J$35)^D120,IF(D120='Eingabeblatt 1'!$D$36,-'Eingabeblatt 1'!$L$36*(1+'Eingabeblatt 1'!$J$36)^D120,0))),"")</f>
        <v>0</v>
      </c>
      <c r="F120" s="354">
        <f t="shared" si="10"/>
        <v>-1405638.08</v>
      </c>
      <c r="G120" s="347">
        <f>IF(A120&lt;='Eingabeblatt 1'!$D$18,IF(D120='Eingabeblatt 1'!$D$41,-('Eingabeblatt 1'!$L$40+'Eingabeblatt 1'!$L$41)*(1+'Eingabeblatt 1'!$J$40)^D120,-('Eingabeblatt 1'!$L$40)*(1+'Eingabeblatt 1'!$J$40)^D120),"")</f>
        <v>-378851.25599999999</v>
      </c>
      <c r="H120" s="347">
        <f>IF(A120&lt;='Eingabeblatt 1'!$D$18,H119*(1+'Eingabeblatt 1'!$J$42),"")</f>
        <v>-374160.54921874998</v>
      </c>
      <c r="I120" s="347">
        <f>IF(A120&lt;='Eingabeblatt 1'!$D$18,(-'Eingabeblatt 1'!$L$45*(1+'Eingabeblatt 1'!$J$45)^'Zusammenfassung Ergebnis'!D120)-('Eingabeblatt 1'!$L$46*(1+'Eingabeblatt 1'!$J$46)^'Zusammenfassung Ergebnis'!D120)-('Eingabeblatt 1'!$L$47*(1+'Eingabeblatt 1'!$J$47)^'Zusammenfassung Ergebnis'!D120),"")</f>
        <v>-235440.08649823925</v>
      </c>
      <c r="J120" s="347">
        <f>IF(A119&lt;='Eingabeblatt 1'!$D$18,'Eingabeblatt 1'!$D$51*(1+'Eingabeblatt 1'!$J$51)^'Zusammenfassung Ergebnis'!D120,"")</f>
        <v>0</v>
      </c>
      <c r="K120" s="348">
        <f t="shared" si="12"/>
        <v>0</v>
      </c>
      <c r="L120" s="348">
        <f>IF(D120&lt;='Eingabeblatt 1'!$D$18,(SUMIFS('Eingabeblatt 2'!$K$14:$K$53,'Eingabeblatt 2'!$E$14:$E$53,'Zusammenfassung Ergebnis'!D120))*(1+'Eingabeblatt 1'!$J$34)^'Zusammenfassung Ergebnis'!D120,"")</f>
        <v>0</v>
      </c>
      <c r="M120" s="349">
        <f>IF(A120&lt;='Eingabeblatt 1'!$D$18,SUM(G120:L120)+E120,"")</f>
        <v>-988451.89171698922</v>
      </c>
      <c r="N120" s="350">
        <f>IF(A120&lt;='Eingabeblatt 1'!$D$18,(E120+G120+I120+H120+J120+K120+L120)/(1+'Eingabeblatt 1'!$D$19)^D120,"")</f>
        <v>-844932.81967094296</v>
      </c>
      <c r="O120" s="350">
        <f>IF(A120&lt;='Eingabeblatt 1'!$D$18,O119+N120,"")</f>
        <v>-34144440.35264343</v>
      </c>
      <c r="R120" s="351">
        <f>(((40-D120)/40*$Q$116))*('Eingabeblatt 1'!$D$20)+$Q$116/40</f>
        <v>123711</v>
      </c>
      <c r="S120" s="351"/>
      <c r="T120" s="351">
        <f>(((30-D120)/30*$S$116))*('Eingabeblatt 1'!$D$20)+$S$116/30</f>
        <v>0</v>
      </c>
      <c r="U120" s="351"/>
      <c r="V120" s="351">
        <f>(((20-D120)/20*$U$116))*('Eingabeblatt 1'!$D$20)+$U$116/20</f>
        <v>613378.92000000004</v>
      </c>
      <c r="W120" s="351"/>
      <c r="X120" s="351">
        <f>(((10-D120)/10*$W$116))*('Eingabeblatt 1'!$D$20)+$W$116/10</f>
        <v>668548.16</v>
      </c>
      <c r="Y120" s="354">
        <f t="shared" si="11"/>
        <v>1405638.08</v>
      </c>
      <c r="AG120" s="342"/>
      <c r="AH120" s="342"/>
      <c r="AI120" s="342"/>
      <c r="AJ120" s="342"/>
    </row>
    <row r="121" spans="1:36" s="341" customFormat="1" x14ac:dyDescent="0.3">
      <c r="A121" s="345">
        <v>5</v>
      </c>
      <c r="C121" s="346">
        <f>IF(A121&lt;='Eingabeblatt 1'!$D$18,C120+1,"")</f>
        <v>2023</v>
      </c>
      <c r="D121" s="345">
        <f>IF(A121&lt;='Eingabeblatt 1'!$D$18,D120+1,"")</f>
        <v>5</v>
      </c>
      <c r="E121" s="354">
        <f>IF(A121&lt;='Eingabeblatt 1'!$D$18,IF(D121='Eingabeblatt 1'!$D$34,-'Eingabeblatt 1'!$L$34*(1+'Eingabeblatt 1'!$J$34)^D121,IF(D121='Eingabeblatt 1'!$D$35,-'Eingabeblatt 1'!$L$35*(1+'Eingabeblatt 1'!$J$35)^D121,IF(D121='Eingabeblatt 1'!$D$36,-'Eingabeblatt 1'!$L$36*(1+'Eingabeblatt 1'!$J$36)^D121,0))),"")</f>
        <v>0</v>
      </c>
      <c r="F121" s="354">
        <f t="shared" si="10"/>
        <v>-1382967.6</v>
      </c>
      <c r="G121" s="347">
        <f>IF(A121&lt;='Eingabeblatt 1'!$D$18,IF(D121='Eingabeblatt 1'!$D$41,-('Eingabeblatt 1'!$L$40+'Eingabeblatt 1'!$L$41)*(1+'Eingabeblatt 1'!$J$40)^D121,-('Eingabeblatt 1'!$L$40)*(1+'Eingabeblatt 1'!$J$40)^D121),"")</f>
        <v>-386428.28112</v>
      </c>
      <c r="H121" s="347">
        <f>IF(A121&lt;='Eingabeblatt 1'!$D$18,H120*(1+'Eingabeblatt 1'!$J$42),"")</f>
        <v>-382579.16157617181</v>
      </c>
      <c r="I121" s="347">
        <f>IF(A121&lt;='Eingabeblatt 1'!$D$18,(-'Eingabeblatt 1'!$L$45*(1+'Eingabeblatt 1'!$J$45)^'Zusammenfassung Ergebnis'!D121)-('Eingabeblatt 1'!$L$46*(1+'Eingabeblatt 1'!$J$46)^'Zusammenfassung Ergebnis'!D121)-('Eingabeblatt 1'!$L$47*(1+'Eingabeblatt 1'!$J$47)^'Zusammenfassung Ergebnis'!D121),"")</f>
        <v>-237124.75651926029</v>
      </c>
      <c r="J121" s="347">
        <f>IF(A120&lt;='Eingabeblatt 1'!$D$18,'Eingabeblatt 1'!$D$51*(1+'Eingabeblatt 1'!$J$51)^'Zusammenfassung Ergebnis'!D121,"")</f>
        <v>0</v>
      </c>
      <c r="K121" s="348">
        <f t="shared" si="12"/>
        <v>0</v>
      </c>
      <c r="L121" s="348">
        <f>IF(D121&lt;='Eingabeblatt 1'!$D$18,(SUMIFS('Eingabeblatt 2'!$K$14:$K$53,'Eingabeblatt 2'!$E$14:$E$53,'Zusammenfassung Ergebnis'!D121))*(1+'Eingabeblatt 1'!$J$34)^'Zusammenfassung Ergebnis'!D121,"")</f>
        <v>0</v>
      </c>
      <c r="M121" s="349">
        <f>IF(A121&lt;='Eingabeblatt 1'!$D$18,SUM(G121:L121)+E121,"")</f>
        <v>-1006132.1992154322</v>
      </c>
      <c r="N121" s="350">
        <f>IF(A121&lt;='Eingabeblatt 1'!$D$18,(E121+G121+I121+H121+J121+K121+L121)/(1+'Eingabeblatt 1'!$D$19)^D121,"")</f>
        <v>-826967.32751856372</v>
      </c>
      <c r="O121" s="350">
        <f>IF(A121&lt;='Eingabeblatt 1'!$D$18,O120+N121,"")</f>
        <v>-34971407.680161998</v>
      </c>
      <c r="R121" s="351">
        <f>(((40-D121)/40*$Q$116))*('Eingabeblatt 1'!$D$20)+$Q$116/40</f>
        <v>122272.5</v>
      </c>
      <c r="S121" s="351"/>
      <c r="T121" s="351">
        <f>(((30-D121)/30*$S$116))*('Eingabeblatt 1'!$D$20)+$S$116/30</f>
        <v>0</v>
      </c>
      <c r="U121" s="351"/>
      <c r="V121" s="351">
        <f>(((20-D121)/20*$U$116))*('Eingabeblatt 1'!$D$20)+$U$116/20</f>
        <v>604085.30000000005</v>
      </c>
      <c r="W121" s="351"/>
      <c r="X121" s="351">
        <f>(((10-D121)/10*$W$116))*('Eingabeblatt 1'!$D$20)+$W$116/10</f>
        <v>656609.80000000005</v>
      </c>
      <c r="Y121" s="354">
        <f t="shared" si="11"/>
        <v>1382967.6</v>
      </c>
      <c r="AG121" s="342"/>
      <c r="AH121" s="342"/>
      <c r="AI121" s="342"/>
      <c r="AJ121" s="342"/>
    </row>
    <row r="122" spans="1:36" s="341" customFormat="1" x14ac:dyDescent="0.3">
      <c r="A122" s="345">
        <v>6</v>
      </c>
      <c r="C122" s="346">
        <f>IF(A122&lt;='Eingabeblatt 1'!$D$18,C121+1,"")</f>
        <v>2024</v>
      </c>
      <c r="D122" s="345">
        <f>IF(A122&lt;='Eingabeblatt 1'!$D$18,D121+1,"")</f>
        <v>6</v>
      </c>
      <c r="E122" s="354">
        <f>IF(A122&lt;='Eingabeblatt 1'!$D$18,IF(D122='Eingabeblatt 1'!$D$34,-'Eingabeblatt 1'!$L$34*(1+'Eingabeblatt 1'!$J$34)^D122,IF(D122='Eingabeblatt 1'!$D$35,-'Eingabeblatt 1'!$L$35*(1+'Eingabeblatt 1'!$J$35)^D122,IF(D122='Eingabeblatt 1'!$D$36,-'Eingabeblatt 1'!$L$36*(1+'Eingabeblatt 1'!$J$36)^D122,0))),"")</f>
        <v>0</v>
      </c>
      <c r="F122" s="354">
        <f t="shared" si="10"/>
        <v>-1360297.12</v>
      </c>
      <c r="G122" s="347">
        <f>IF(A122&lt;='Eingabeblatt 1'!$D$18,IF(D122='Eingabeblatt 1'!$D$41,-('Eingabeblatt 1'!$L$40+'Eingabeblatt 1'!$L$41)*(1+'Eingabeblatt 1'!$J$40)^D122,-('Eingabeblatt 1'!$L$40)*(1+'Eingabeblatt 1'!$J$40)^D122),"")</f>
        <v>-394156.84674240003</v>
      </c>
      <c r="H122" s="347">
        <f>IF(A122&lt;='Eingabeblatt 1'!$D$18,H121*(1+'Eingabeblatt 1'!$J$42),"")</f>
        <v>-391187.19271163567</v>
      </c>
      <c r="I122" s="347">
        <f>IF(A122&lt;='Eingabeblatt 1'!$D$18,(-'Eingabeblatt 1'!$L$45*(1+'Eingabeblatt 1'!$J$45)^'Zusammenfassung Ergebnis'!D122)-('Eingabeblatt 1'!$L$46*(1+'Eingabeblatt 1'!$J$46)^'Zusammenfassung Ergebnis'!D122)-('Eingabeblatt 1'!$L$47*(1+'Eingabeblatt 1'!$J$47)^'Zusammenfassung Ergebnis'!D122),"")</f>
        <v>-238822.92458627178</v>
      </c>
      <c r="J122" s="347">
        <f>IF(A121&lt;='Eingabeblatt 1'!$D$18,'Eingabeblatt 1'!$D$51*(1+'Eingabeblatt 1'!$J$51)^'Zusammenfassung Ergebnis'!D122,"")</f>
        <v>0</v>
      </c>
      <c r="K122" s="348">
        <f t="shared" si="12"/>
        <v>0</v>
      </c>
      <c r="L122" s="348">
        <f>IF(D122&lt;='Eingabeblatt 1'!$D$18,(SUMIFS('Eingabeblatt 2'!$K$14:$K$53,'Eingabeblatt 2'!$E$14:$E$53,'Zusammenfassung Ergebnis'!D122))*(1+'Eingabeblatt 1'!$J$34)^'Zusammenfassung Ergebnis'!D122,"")</f>
        <v>0</v>
      </c>
      <c r="M122" s="349">
        <f>IF(A122&lt;='Eingabeblatt 1'!$D$18,SUM(G122:L122)+E122,"")</f>
        <v>-1024166.9640403074</v>
      </c>
      <c r="N122" s="350">
        <f>IF(A122&lt;='Eingabeblatt 1'!$D$18,(E122+G122+I122+H122+J122+K122+L122)/(1+'Eingabeblatt 1'!$D$19)^D122,"")</f>
        <v>-809414.02845399885</v>
      </c>
      <c r="O122" s="350">
        <f>IF(A122&lt;='Eingabeblatt 1'!$D$18,O121+N122,"")</f>
        <v>-35780821.708615996</v>
      </c>
      <c r="R122" s="351">
        <f>(((40-D122)/40*$Q$116))*('Eingabeblatt 1'!$D$20)+$Q$116/40</f>
        <v>120834</v>
      </c>
      <c r="S122" s="351"/>
      <c r="T122" s="351">
        <f>(((30-D122)/30*$S$116))*('Eingabeblatt 1'!$D$20)+$S$116/30</f>
        <v>0</v>
      </c>
      <c r="U122" s="351"/>
      <c r="V122" s="351">
        <f>(((20-D122)/20*$U$116))*('Eingabeblatt 1'!$D$20)+$U$116/20</f>
        <v>594791.68000000005</v>
      </c>
      <c r="W122" s="351"/>
      <c r="X122" s="351">
        <f>(((10-D122)/10*$W$116))*('Eingabeblatt 1'!$D$20)+$W$116/10</f>
        <v>644671.43999999994</v>
      </c>
      <c r="Y122" s="354">
        <f t="shared" si="11"/>
        <v>1360297.12</v>
      </c>
      <c r="AG122" s="342"/>
      <c r="AH122" s="342"/>
      <c r="AI122" s="342"/>
      <c r="AJ122" s="342"/>
    </row>
    <row r="123" spans="1:36" s="341" customFormat="1" x14ac:dyDescent="0.3">
      <c r="A123" s="345">
        <v>7</v>
      </c>
      <c r="C123" s="346">
        <f>IF(A123&lt;='Eingabeblatt 1'!$D$18,C122+1,"")</f>
        <v>2025</v>
      </c>
      <c r="D123" s="345">
        <f>IF(A123&lt;='Eingabeblatt 1'!$D$18,D122+1,"")</f>
        <v>7</v>
      </c>
      <c r="E123" s="354">
        <f>IF(A123&lt;='Eingabeblatt 1'!$D$18,IF(D123='Eingabeblatt 1'!$D$34,-'Eingabeblatt 1'!$L$34*(1+'Eingabeblatt 1'!$J$34)^D123,IF(D123='Eingabeblatt 1'!$D$35,-'Eingabeblatt 1'!$L$35*(1+'Eingabeblatt 1'!$J$35)^D123,IF(D123='Eingabeblatt 1'!$D$36,-'Eingabeblatt 1'!$L$36*(1+'Eingabeblatt 1'!$J$36)^D123,0))),"")</f>
        <v>0</v>
      </c>
      <c r="F123" s="354">
        <f t="shared" si="10"/>
        <v>-1337626.6400000001</v>
      </c>
      <c r="G123" s="347">
        <f>IF(A123&lt;='Eingabeblatt 1'!$D$18,IF(D123='Eingabeblatt 1'!$D$41,-('Eingabeblatt 1'!$L$40+'Eingabeblatt 1'!$L$41)*(1+'Eingabeblatt 1'!$J$40)^D123,-('Eingabeblatt 1'!$L$40)*(1+'Eingabeblatt 1'!$J$40)^D123),"")</f>
        <v>-402039.98367724795</v>
      </c>
      <c r="H123" s="347">
        <f>IF(A123&lt;='Eingabeblatt 1'!$D$18,H122*(1+'Eingabeblatt 1'!$J$42),"")</f>
        <v>-399988.90454764746</v>
      </c>
      <c r="I123" s="347">
        <f>IF(A123&lt;='Eingabeblatt 1'!$D$18,(-'Eingabeblatt 1'!$L$45*(1+'Eingabeblatt 1'!$J$45)^'Zusammenfassung Ergebnis'!D123)-('Eingabeblatt 1'!$L$46*(1+'Eingabeblatt 1'!$J$46)^'Zusammenfassung Ergebnis'!D123)-('Eingabeblatt 1'!$L$47*(1+'Eingabeblatt 1'!$J$47)^'Zusammenfassung Ergebnis'!D123),"")</f>
        <v>-240534.70893646244</v>
      </c>
      <c r="J123" s="347">
        <f>IF(A122&lt;='Eingabeblatt 1'!$D$18,'Eingabeblatt 1'!$D$51*(1+'Eingabeblatt 1'!$J$51)^'Zusammenfassung Ergebnis'!D123,"")</f>
        <v>0</v>
      </c>
      <c r="K123" s="348">
        <f t="shared" si="12"/>
        <v>0</v>
      </c>
      <c r="L123" s="348">
        <f>IF(D123&lt;='Eingabeblatt 1'!$D$18,(SUMIFS('Eingabeblatt 2'!$K$14:$K$53,'Eingabeblatt 2'!$E$14:$E$53,'Zusammenfassung Ergebnis'!D123))*(1+'Eingabeblatt 1'!$J$34)^'Zusammenfassung Ergebnis'!D123,"")</f>
        <v>0</v>
      </c>
      <c r="M123" s="349">
        <f>IF(A123&lt;='Eingabeblatt 1'!$D$18,SUM(G123:L123)+E123,"")</f>
        <v>-1042563.5971613578</v>
      </c>
      <c r="N123" s="350">
        <f>IF(A123&lt;='Eingabeblatt 1'!$D$18,(E123+G123+I123+H123+J123+K123+L123)/(1+'Eingabeblatt 1'!$D$19)^D123,"")</f>
        <v>-792262.64887893584</v>
      </c>
      <c r="O123" s="350">
        <f>IF(A123&lt;='Eingabeblatt 1'!$D$18,O122+N123,"")</f>
        <v>-36573084.357494935</v>
      </c>
      <c r="R123" s="351">
        <f>(((40-D123)/40*$Q$116))*('Eingabeblatt 1'!$D$20)+$Q$116/40</f>
        <v>119395.5</v>
      </c>
      <c r="S123" s="351"/>
      <c r="T123" s="351">
        <f>(((30-D123)/30*$S$116))*('Eingabeblatt 1'!$D$20)+$S$116/30</f>
        <v>0</v>
      </c>
      <c r="U123" s="351"/>
      <c r="V123" s="351">
        <f>(((20-D123)/20*$U$116))*('Eingabeblatt 1'!$D$20)+$U$116/20</f>
        <v>585498.06000000006</v>
      </c>
      <c r="W123" s="351"/>
      <c r="X123" s="351">
        <f>(((10-D123)/10*$W$116))*('Eingabeblatt 1'!$D$20)+$W$116/10</f>
        <v>632733.07999999996</v>
      </c>
      <c r="Y123" s="354">
        <f t="shared" si="11"/>
        <v>1337626.6400000001</v>
      </c>
      <c r="AG123" s="342"/>
      <c r="AH123" s="342"/>
      <c r="AI123" s="342"/>
      <c r="AJ123" s="342"/>
    </row>
    <row r="124" spans="1:36" s="341" customFormat="1" x14ac:dyDescent="0.3">
      <c r="A124" s="345">
        <v>8</v>
      </c>
      <c r="C124" s="346">
        <f>IF(A124&lt;='Eingabeblatt 1'!$D$18,C123+1,"")</f>
        <v>2026</v>
      </c>
      <c r="D124" s="345">
        <f>IF(A124&lt;='Eingabeblatt 1'!$D$18,D123+1,"")</f>
        <v>8</v>
      </c>
      <c r="E124" s="354">
        <f>IF(A124&lt;='Eingabeblatt 1'!$D$18,IF(D124='Eingabeblatt 1'!$D$34,-'Eingabeblatt 1'!$L$34*(1+'Eingabeblatt 1'!$J$34)^D124,IF(D124='Eingabeblatt 1'!$D$35,-'Eingabeblatt 1'!$L$35*(1+'Eingabeblatt 1'!$J$35)^D124,IF(D124='Eingabeblatt 1'!$D$36,-'Eingabeblatt 1'!$L$36*(1+'Eingabeblatt 1'!$J$36)^D124,0))),"")</f>
        <v>0</v>
      </c>
      <c r="F124" s="354">
        <f t="shared" si="10"/>
        <v>-1314956.1599999999</v>
      </c>
      <c r="G124" s="347">
        <f>IF(A124&lt;='Eingabeblatt 1'!$D$18,IF(D124='Eingabeblatt 1'!$D$41,-('Eingabeblatt 1'!$L$40+'Eingabeblatt 1'!$L$41)*(1+'Eingabeblatt 1'!$J$40)^D124,-('Eingabeblatt 1'!$L$40)*(1+'Eingabeblatt 1'!$J$40)^D124),"")</f>
        <v>-410080.78335079295</v>
      </c>
      <c r="H124" s="347">
        <f>IF(A124&lt;='Eingabeblatt 1'!$D$18,H123*(1+'Eingabeblatt 1'!$J$42),"")</f>
        <v>-408988.65489996952</v>
      </c>
      <c r="I124" s="347">
        <f>IF(A124&lt;='Eingabeblatt 1'!$D$18,(-'Eingabeblatt 1'!$L$45*(1+'Eingabeblatt 1'!$J$45)^'Zusammenfassung Ergebnis'!D124)-('Eingabeblatt 1'!$L$46*(1+'Eingabeblatt 1'!$J$46)^'Zusammenfassung Ergebnis'!D124)-('Eingabeblatt 1'!$L$47*(1+'Eingabeblatt 1'!$J$47)^'Zusammenfassung Ergebnis'!D124),"")</f>
        <v>-242260.22890567669</v>
      </c>
      <c r="J124" s="347">
        <f>IF(A123&lt;='Eingabeblatt 1'!$D$18,'Eingabeblatt 1'!$D$51*(1+'Eingabeblatt 1'!$J$51)^'Zusammenfassung Ergebnis'!D124,"")</f>
        <v>0</v>
      </c>
      <c r="K124" s="348">
        <f t="shared" si="12"/>
        <v>0</v>
      </c>
      <c r="L124" s="348">
        <f>IF(D124&lt;='Eingabeblatt 1'!$D$18,(SUMIFS('Eingabeblatt 2'!$K$14:$K$53,'Eingabeblatt 2'!$E$14:$E$53,'Zusammenfassung Ergebnis'!D124))*(1+'Eingabeblatt 1'!$J$34)^'Zusammenfassung Ergebnis'!D124,"")</f>
        <v>0</v>
      </c>
      <c r="M124" s="349">
        <f>IF(A124&lt;='Eingabeblatt 1'!$D$18,SUM(G124:L124)+E124,"")</f>
        <v>-1061329.667156439</v>
      </c>
      <c r="N124" s="350">
        <f>IF(A124&lt;='Eingabeblatt 1'!$D$18,(E124+G124+I124+H124+J124+K124+L124)/(1+'Eingabeblatt 1'!$D$19)^D124,"")</f>
        <v>-775503.1920692256</v>
      </c>
      <c r="O124" s="350">
        <f>IF(A124&lt;='Eingabeblatt 1'!$D$18,O123+N124,"")</f>
        <v>-37348587.54956416</v>
      </c>
      <c r="R124" s="351">
        <f>(((40-D124)/40*$Q$116))*('Eingabeblatt 1'!$D$20)+$Q$116/40</f>
        <v>117957</v>
      </c>
      <c r="S124" s="351"/>
      <c r="T124" s="351">
        <f>(((30-D124)/30*$S$116))*('Eingabeblatt 1'!$D$20)+$S$116/30</f>
        <v>0</v>
      </c>
      <c r="U124" s="351"/>
      <c r="V124" s="351">
        <f>(((20-D124)/20*$U$116))*('Eingabeblatt 1'!$D$20)+$U$116/20</f>
        <v>576204.43999999994</v>
      </c>
      <c r="W124" s="351"/>
      <c r="X124" s="351">
        <f>(((10-D124)/10*$W$116))*('Eingabeblatt 1'!$D$20)+$W$116/10</f>
        <v>620794.72</v>
      </c>
      <c r="Y124" s="354">
        <f t="shared" si="11"/>
        <v>1314956.1599999999</v>
      </c>
      <c r="AG124" s="342"/>
      <c r="AH124" s="342"/>
      <c r="AI124" s="342"/>
      <c r="AJ124" s="342"/>
    </row>
    <row r="125" spans="1:36" s="341" customFormat="1" x14ac:dyDescent="0.3">
      <c r="A125" s="345">
        <v>9</v>
      </c>
      <c r="C125" s="346">
        <f>IF(A125&lt;='Eingabeblatt 1'!$D$18,C124+1,"")</f>
        <v>2027</v>
      </c>
      <c r="D125" s="345">
        <f>IF(A125&lt;='Eingabeblatt 1'!$D$18,D124+1,"")</f>
        <v>9</v>
      </c>
      <c r="E125" s="354">
        <f>IF(A125&lt;='Eingabeblatt 1'!$D$18,IF(D125='Eingabeblatt 1'!$D$34,-'Eingabeblatt 1'!$L$34*(1+'Eingabeblatt 1'!$J$34)^D125,IF(D125='Eingabeblatt 1'!$D$35,-'Eingabeblatt 1'!$L$35*(1+'Eingabeblatt 1'!$J$35)^D125,IF(D125='Eingabeblatt 1'!$D$36,-'Eingabeblatt 1'!$L$36*(1+'Eingabeblatt 1'!$J$36)^D125,0))),"")</f>
        <v>0</v>
      </c>
      <c r="F125" s="354">
        <f t="shared" si="10"/>
        <v>-1292285.6800000002</v>
      </c>
      <c r="G125" s="347">
        <f>IF(A125&lt;='Eingabeblatt 1'!$D$18,IF(D125='Eingabeblatt 1'!$D$41,-('Eingabeblatt 1'!$L$40+'Eingabeblatt 1'!$L$41)*(1+'Eingabeblatt 1'!$J$40)^D125,-('Eingabeblatt 1'!$L$40)*(1+'Eingabeblatt 1'!$J$40)^D125),"")</f>
        <v>-418282.39901780878</v>
      </c>
      <c r="H125" s="347">
        <f>IF(A125&lt;='Eingabeblatt 1'!$D$18,H124*(1+'Eingabeblatt 1'!$J$42),"")</f>
        <v>-418190.89963521884</v>
      </c>
      <c r="I125" s="347">
        <f>IF(A125&lt;='Eingabeblatt 1'!$D$18,(-'Eingabeblatt 1'!$L$45*(1+'Eingabeblatt 1'!$J$45)^'Zusammenfassung Ergebnis'!D125)-('Eingabeblatt 1'!$L$46*(1+'Eingabeblatt 1'!$J$46)^'Zusammenfassung Ergebnis'!D125)-('Eingabeblatt 1'!$L$47*(1+'Eingabeblatt 1'!$J$47)^'Zusammenfassung Ergebnis'!D125),"")</f>
        <v>-243999.60493898235</v>
      </c>
      <c r="J125" s="347">
        <f>IF(A124&lt;='Eingabeblatt 1'!$D$18,'Eingabeblatt 1'!$D$51*(1+'Eingabeblatt 1'!$J$51)^'Zusammenfassung Ergebnis'!D125,"")</f>
        <v>0</v>
      </c>
      <c r="K125" s="348">
        <f t="shared" si="12"/>
        <v>0</v>
      </c>
      <c r="L125" s="348">
        <f>IF(D125&lt;='Eingabeblatt 1'!$D$18,(SUMIFS('Eingabeblatt 2'!$K$14:$K$53,'Eingabeblatt 2'!$E$14:$E$53,'Zusammenfassung Ergebnis'!D125))*(1+'Eingabeblatt 1'!$J$34)^'Zusammenfassung Ergebnis'!D125,"")</f>
        <v>0</v>
      </c>
      <c r="M125" s="349">
        <f>IF(A125&lt;='Eingabeblatt 1'!$D$18,SUM(G125:L125)+E125,"")</f>
        <v>-1080472.90359201</v>
      </c>
      <c r="N125" s="350">
        <f>IF(A125&lt;='Eingabeblatt 1'!$D$18,(E125+G125+I125+H125+J125+K125+L125)/(1+'Eingabeblatt 1'!$D$19)^D125,"")</f>
        <v>-759125.93021609075</v>
      </c>
      <c r="O125" s="350">
        <f>IF(A125&lt;='Eingabeblatt 1'!$D$18,O124+N125,"")</f>
        <v>-38107713.479780249</v>
      </c>
      <c r="R125" s="351">
        <f>(((40-D125)/40*$Q$116))*('Eingabeblatt 1'!$D$20)+$Q$116/40</f>
        <v>116518.5</v>
      </c>
      <c r="S125" s="351"/>
      <c r="T125" s="351">
        <f>(((30-D125)/30*$S$116))*('Eingabeblatt 1'!$D$20)+$S$116/30</f>
        <v>0</v>
      </c>
      <c r="U125" s="351"/>
      <c r="V125" s="351">
        <f>(((20-D125)/20*$U$116))*('Eingabeblatt 1'!$D$20)+$U$116/20</f>
        <v>566910.82000000007</v>
      </c>
      <c r="W125" s="351"/>
      <c r="X125" s="351">
        <f>(((10-D125)/10*$W$116))*('Eingabeblatt 1'!$D$20)+$W$116/10</f>
        <v>608856.36</v>
      </c>
      <c r="Y125" s="354">
        <f t="shared" si="11"/>
        <v>1292285.6800000002</v>
      </c>
      <c r="AG125" s="342"/>
      <c r="AH125" s="342"/>
      <c r="AI125" s="342"/>
      <c r="AJ125" s="342"/>
    </row>
    <row r="126" spans="1:36" s="341" customFormat="1" x14ac:dyDescent="0.3">
      <c r="A126" s="345">
        <v>10</v>
      </c>
      <c r="C126" s="346">
        <f>IF(A126&lt;='Eingabeblatt 1'!$D$18,C125+1,"")</f>
        <v>2028</v>
      </c>
      <c r="D126" s="345">
        <f>IF(A126&lt;='Eingabeblatt 1'!$D$18,D125+1,"")</f>
        <v>10</v>
      </c>
      <c r="E126" s="354">
        <f>IF(A126&lt;='Eingabeblatt 1'!$D$18,IF(D126='Eingabeblatt 1'!$D$34,-'Eingabeblatt 1'!$L$34*(1+'Eingabeblatt 1'!$J$34)^D126,IF(D126='Eingabeblatt 1'!$D$35,-'Eingabeblatt 1'!$L$35*(1+'Eingabeblatt 1'!$J$35)^D126,IF(D126='Eingabeblatt 1'!$D$36,-'Eingabeblatt 1'!$L$36*(1+'Eingabeblatt 1'!$J$36)^D126,0))),"")</f>
        <v>-12295655.839763483</v>
      </c>
      <c r="F126" s="354">
        <f t="shared" si="10"/>
        <v>-1531312.0592094278</v>
      </c>
      <c r="G126" s="347">
        <f>IF(A126&lt;='Eingabeblatt 1'!$D$18,IF(D126='Eingabeblatt 1'!$D$41,-('Eingabeblatt 1'!$L$40+'Eingabeblatt 1'!$L$41)*(1+'Eingabeblatt 1'!$J$40)^D126,-('Eingabeblatt 1'!$L$40)*(1+'Eingabeblatt 1'!$J$40)^D126),"")</f>
        <v>-426648.04699816497</v>
      </c>
      <c r="H126" s="347">
        <f>IF(A126&lt;='Eingabeblatt 1'!$D$18,H125*(1+'Eingabeblatt 1'!$J$42),"")</f>
        <v>-427600.19487701124</v>
      </c>
      <c r="I126" s="347">
        <f>IF(A126&lt;='Eingabeblatt 1'!$D$18,(-'Eingabeblatt 1'!$L$45*(1+'Eingabeblatt 1'!$J$45)^'Zusammenfassung Ergebnis'!D126)-('Eingabeblatt 1'!$L$46*(1+'Eingabeblatt 1'!$J$46)^'Zusammenfassung Ergebnis'!D126)-('Eingabeblatt 1'!$L$47*(1+'Eingabeblatt 1'!$J$47)^'Zusammenfassung Ergebnis'!D126),"")</f>
        <v>-245752.95860134222</v>
      </c>
      <c r="J126" s="347">
        <f>IF(A125&lt;='Eingabeblatt 1'!$D$18,'Eingabeblatt 1'!$D$51*(1+'Eingabeblatt 1'!$J$51)^'Zusammenfassung Ergebnis'!D126,"")</f>
        <v>0</v>
      </c>
      <c r="K126" s="348">
        <f t="shared" si="12"/>
        <v>0</v>
      </c>
      <c r="L126" s="348">
        <f>IF(D126&lt;='Eingabeblatt 1'!$D$18,(SUMIFS('Eingabeblatt 2'!$K$14:$K$53,'Eingabeblatt 2'!$E$14:$E$53,'Zusammenfassung Ergebnis'!D126))*(1+'Eingabeblatt 1'!$J$34)^'Zusammenfassung Ergebnis'!D126,"")</f>
        <v>129559.35913583876</v>
      </c>
      <c r="M126" s="349">
        <f>IF(A126&lt;='Eingabeblatt 1'!$D$18,SUM(G126:L126)+E126,"")</f>
        <v>-13266097.681104163</v>
      </c>
      <c r="N126" s="350">
        <f>IF(A126&lt;='Eingabeblatt 1'!$D$18,(E126+G126+I126+H126+J126+K126+L126)/(1+'Eingabeblatt 1'!$D$19)^D126,"")</f>
        <v>-8962100.2534969877</v>
      </c>
      <c r="O126" s="350">
        <f>IF(A126&lt;='Eingabeblatt 1'!$D$18,O125+N126,"")</f>
        <v>-47069813.733277239</v>
      </c>
      <c r="R126" s="351">
        <f>(((40-D126)/40*$Q$116))*('Eingabeblatt 1'!$D$20)+$Q$116/40</f>
        <v>115080</v>
      </c>
      <c r="S126" s="351"/>
      <c r="T126" s="351">
        <f>(((30-D126)/30*$S$116))*('Eingabeblatt 1'!$D$20)+$S$116/30</f>
        <v>0</v>
      </c>
      <c r="U126" s="351"/>
      <c r="V126" s="351">
        <f>(((20-D126)/20*$U$116))*('Eingabeblatt 1'!$D$20)+$U$116/20</f>
        <v>557617.19999999995</v>
      </c>
      <c r="W126" s="351">
        <f>(SUMIFS('Eingabeblatt 2'!I14:I37,'Eingabeblatt 2'!E14:E37,10))*(1+'Eingabeblatt 1'!J65)^'Zusammenfassung Ergebnis'!D126</f>
        <v>7276397.1119443038</v>
      </c>
      <c r="X126" s="351">
        <f>(((10-D117)/10*$W$126))*('Eingabeblatt 1'!$D$20)+$W$126/10</f>
        <v>858614.85920942784</v>
      </c>
      <c r="Y126" s="354">
        <f t="shared" si="11"/>
        <v>1531312.0592094278</v>
      </c>
      <c r="AG126" s="342"/>
      <c r="AH126" s="342"/>
      <c r="AI126" s="342"/>
      <c r="AJ126" s="342"/>
    </row>
    <row r="127" spans="1:36" s="341" customFormat="1" x14ac:dyDescent="0.3">
      <c r="A127" s="345">
        <v>11</v>
      </c>
      <c r="C127" s="346">
        <f>IF(A127&lt;='Eingabeblatt 1'!$D$18,C126+1,"")</f>
        <v>2029</v>
      </c>
      <c r="D127" s="345">
        <f>IF(A127&lt;='Eingabeblatt 1'!$D$18,D126+1,"")</f>
        <v>11</v>
      </c>
      <c r="E127" s="354">
        <f>IF(A127&lt;='Eingabeblatt 1'!$D$18,IF(D127='Eingabeblatt 1'!$D$34,-'Eingabeblatt 1'!$L$34*(1+'Eingabeblatt 1'!$J$34)^D127,IF(D127='Eingabeblatt 1'!$D$35,-'Eingabeblatt 1'!$L$35*(1+'Eingabeblatt 1'!$J$35)^D127,IF(D127='Eingabeblatt 1'!$D$36,-'Eingabeblatt 1'!$L$36*(1+'Eingabeblatt 1'!$J$36)^D127,0))),"")</f>
        <v>0</v>
      </c>
      <c r="F127" s="354">
        <f t="shared" si="10"/>
        <v>-1506027.1449855394</v>
      </c>
      <c r="G127" s="347">
        <f>IF(A127&lt;='Eingabeblatt 1'!$D$18,IF(D127='Eingabeblatt 1'!$D$41,-('Eingabeblatt 1'!$L$40+'Eingabeblatt 1'!$L$41)*(1+'Eingabeblatt 1'!$J$40)^D127,-('Eingabeblatt 1'!$L$40)*(1+'Eingabeblatt 1'!$J$40)^D127),"")</f>
        <v>-435181.0079381282</v>
      </c>
      <c r="H127" s="347">
        <f>IF(A127&lt;='Eingabeblatt 1'!$D$18,H126*(1+'Eingabeblatt 1'!$J$42),"")</f>
        <v>-437221.19926174398</v>
      </c>
      <c r="I127" s="347">
        <f>IF(A127&lt;='Eingabeblatt 1'!$D$18,(-'Eingabeblatt 1'!$L$45*(1+'Eingabeblatt 1'!$J$45)^'Zusammenfassung Ergebnis'!D127)-('Eingabeblatt 1'!$L$46*(1+'Eingabeblatt 1'!$J$46)^'Zusammenfassung Ergebnis'!D127)-('Eingabeblatt 1'!$L$47*(1+'Eingabeblatt 1'!$J$47)^'Zusammenfassung Ergebnis'!D127),"")</f>
        <v>-247520.41258839058</v>
      </c>
      <c r="J127" s="347">
        <f>IF(A126&lt;='Eingabeblatt 1'!$D$18,'Eingabeblatt 1'!$D$51*(1+'Eingabeblatt 1'!$J$51)^'Zusammenfassung Ergebnis'!D127,"")</f>
        <v>0</v>
      </c>
      <c r="K127" s="348">
        <f t="shared" si="12"/>
        <v>0</v>
      </c>
      <c r="L127" s="348">
        <f>IF(D127&lt;='Eingabeblatt 1'!$D$18,(SUMIFS('Eingabeblatt 2'!$K$14:$K$53,'Eingabeblatt 2'!$E$14:$E$53,'Zusammenfassung Ergebnis'!D127))*(1+'Eingabeblatt 1'!$J$34)^'Zusammenfassung Ergebnis'!D127,"")</f>
        <v>0</v>
      </c>
      <c r="M127" s="349">
        <f>IF(A127&lt;='Eingabeblatt 1'!$D$18,SUM(G127:L127)+E127,"")</f>
        <v>-1119922.6197882628</v>
      </c>
      <c r="N127" s="350">
        <f>IF(A127&lt;='Eingabeblatt 1'!$D$18,(E127+G127+I127+H127+J127+K127+L127)/(1+'Eingabeblatt 1'!$D$19)^D127,"")</f>
        <v>-727480.37864083517</v>
      </c>
      <c r="O127" s="350">
        <f>IF(A127&lt;='Eingabeblatt 1'!$D$18,O126+N127,"")</f>
        <v>-47797294.111918077</v>
      </c>
      <c r="R127" s="351">
        <f>(((40-D127)/40*$Q$116))*('Eingabeblatt 1'!$D$20)+$Q$116/40</f>
        <v>113641.5</v>
      </c>
      <c r="S127" s="351"/>
      <c r="T127" s="351">
        <f>(((30-D127)/30*$S$116))*('Eingabeblatt 1'!$D$20)+$S$116/30</f>
        <v>0</v>
      </c>
      <c r="U127" s="351"/>
      <c r="V127" s="351">
        <f>(((20-D127)/20*$U$116))*('Eingabeblatt 1'!$D$20)+$U$116/20</f>
        <v>548323.57999999996</v>
      </c>
      <c r="W127" s="351"/>
      <c r="X127" s="351">
        <f>(((10-D118)/10*$W$126))*('Eingabeblatt 1'!$D$20)+$W$126/10</f>
        <v>844062.0649855393</v>
      </c>
      <c r="Y127" s="354">
        <f t="shared" si="11"/>
        <v>1506027.1449855394</v>
      </c>
      <c r="AG127" s="342"/>
      <c r="AH127" s="342"/>
      <c r="AI127" s="342"/>
      <c r="AJ127" s="342"/>
    </row>
    <row r="128" spans="1:36" s="341" customFormat="1" x14ac:dyDescent="0.3">
      <c r="A128" s="345">
        <v>12</v>
      </c>
      <c r="C128" s="346">
        <f>IF(A128&lt;='Eingabeblatt 1'!$D$18,C127+1,"")</f>
        <v>2030</v>
      </c>
      <c r="D128" s="345">
        <f>IF(A128&lt;='Eingabeblatt 1'!$D$18,D127+1,"")</f>
        <v>12</v>
      </c>
      <c r="E128" s="354">
        <f>IF(A128&lt;='Eingabeblatt 1'!$D$18,IF(D128='Eingabeblatt 1'!$D$34,-'Eingabeblatt 1'!$L$34*(1+'Eingabeblatt 1'!$J$34)^D128,IF(D128='Eingabeblatt 1'!$D$35,-'Eingabeblatt 1'!$L$35*(1+'Eingabeblatt 1'!$J$35)^D128,IF(D128='Eingabeblatt 1'!$D$36,-'Eingabeblatt 1'!$L$36*(1+'Eingabeblatt 1'!$J$36)^D128,0))),"")</f>
        <v>0</v>
      </c>
      <c r="F128" s="354">
        <f t="shared" si="10"/>
        <v>-1480742.2307616505</v>
      </c>
      <c r="G128" s="347">
        <f>IF(A128&lt;='Eingabeblatt 1'!$D$18,IF(D128='Eingabeblatt 1'!$D$41,-('Eingabeblatt 1'!$L$40+'Eingabeblatt 1'!$L$41)*(1+'Eingabeblatt 1'!$J$40)^D128,-('Eingabeblatt 1'!$L$40)*(1+'Eingabeblatt 1'!$J$40)^D128),"")</f>
        <v>-443884.62809689087</v>
      </c>
      <c r="H128" s="347">
        <f>IF(A128&lt;='Eingabeblatt 1'!$D$18,H127*(1+'Eingabeblatt 1'!$J$42),"")</f>
        <v>-447058.67624513322</v>
      </c>
      <c r="I128" s="347">
        <f>IF(A128&lt;='Eingabeblatt 1'!$D$18,(-'Eingabeblatt 1'!$L$45*(1+'Eingabeblatt 1'!$J$45)^'Zusammenfassung Ergebnis'!D128)-('Eingabeblatt 1'!$L$46*(1+'Eingabeblatt 1'!$J$46)^'Zusammenfassung Ergebnis'!D128)-('Eingabeblatt 1'!$L$47*(1+'Eingabeblatt 1'!$J$47)^'Zusammenfassung Ergebnis'!D128),"")</f>
        <v>-249302.09073731455</v>
      </c>
      <c r="J128" s="347">
        <f>IF(A127&lt;='Eingabeblatt 1'!$D$18,'Eingabeblatt 1'!$D$51*(1+'Eingabeblatt 1'!$J$51)^'Zusammenfassung Ergebnis'!D128,"")</f>
        <v>0</v>
      </c>
      <c r="K128" s="348">
        <f t="shared" si="12"/>
        <v>0</v>
      </c>
      <c r="L128" s="348">
        <f>IF(D128&lt;='Eingabeblatt 1'!$D$18,(SUMIFS('Eingabeblatt 2'!$K$14:$K$53,'Eingabeblatt 2'!$E$14:$E$53,'Zusammenfassung Ergebnis'!D128))*(1+'Eingabeblatt 1'!$J$34)^'Zusammenfassung Ergebnis'!D128,"")</f>
        <v>0</v>
      </c>
      <c r="M128" s="349">
        <f>IF(A128&lt;='Eingabeblatt 1'!$D$18,SUM(G128:L128)+E128,"")</f>
        <v>-1140245.3950793385</v>
      </c>
      <c r="N128" s="350">
        <f>IF(A128&lt;='Eingabeblatt 1'!$D$18,(E128+G128+I128+H128+J128+K128+L128)/(1+'Eingabeblatt 1'!$D$19)^D128,"")</f>
        <v>-712193.90956381068</v>
      </c>
      <c r="O128" s="350">
        <f>IF(A128&lt;='Eingabeblatt 1'!$D$18,O127+N128,"")</f>
        <v>-48509488.021481887</v>
      </c>
      <c r="R128" s="351">
        <f>(((40-D128)/40*$Q$116))*('Eingabeblatt 1'!$D$20)+$Q$116/40</f>
        <v>112203</v>
      </c>
      <c r="S128" s="351"/>
      <c r="T128" s="351">
        <f>(((30-D128)/30*$S$116))*('Eingabeblatt 1'!$D$20)+$S$116/30</f>
        <v>0</v>
      </c>
      <c r="U128" s="351"/>
      <c r="V128" s="351">
        <f>(((20-D128)/20*$U$116))*('Eingabeblatt 1'!$D$20)+$U$116/20</f>
        <v>539029.96</v>
      </c>
      <c r="W128" s="351"/>
      <c r="X128" s="351">
        <f>(((10-D119)/10*$W$126))*('Eingabeblatt 1'!$D$20)+$W$126/10</f>
        <v>829509.27076165064</v>
      </c>
      <c r="Y128" s="354">
        <f t="shared" si="11"/>
        <v>1480742.2307616505</v>
      </c>
      <c r="AG128" s="342"/>
      <c r="AH128" s="342"/>
      <c r="AI128" s="342"/>
      <c r="AJ128" s="342"/>
    </row>
    <row r="129" spans="1:36" s="341" customFormat="1" x14ac:dyDescent="0.3">
      <c r="A129" s="345">
        <v>13</v>
      </c>
      <c r="C129" s="346">
        <f>IF(A129&lt;='Eingabeblatt 1'!$D$18,C128+1,"")</f>
        <v>2031</v>
      </c>
      <c r="D129" s="345">
        <f>IF(A129&lt;='Eingabeblatt 1'!$D$18,D128+1,"")</f>
        <v>13</v>
      </c>
      <c r="E129" s="354">
        <f>IF(A129&lt;='Eingabeblatt 1'!$D$18,IF(D129='Eingabeblatt 1'!$D$34,-'Eingabeblatt 1'!$L$34*(1+'Eingabeblatt 1'!$J$34)^D129,IF(D129='Eingabeblatt 1'!$D$35,-'Eingabeblatt 1'!$L$35*(1+'Eingabeblatt 1'!$J$35)^D129,IF(D129='Eingabeblatt 1'!$D$36,-'Eingabeblatt 1'!$L$36*(1+'Eingabeblatt 1'!$J$36)^D129,0))),"")</f>
        <v>0</v>
      </c>
      <c r="F129" s="354">
        <f t="shared" si="10"/>
        <v>-1455457.3165377621</v>
      </c>
      <c r="G129" s="347">
        <f>IF(A129&lt;='Eingabeblatt 1'!$D$18,IF(D129='Eingabeblatt 1'!$D$41,-('Eingabeblatt 1'!$L$40+'Eingabeblatt 1'!$L$41)*(1+'Eingabeblatt 1'!$J$40)^D129,-('Eingabeblatt 1'!$L$40)*(1+'Eingabeblatt 1'!$J$40)^D129),"")</f>
        <v>-452762.32065882866</v>
      </c>
      <c r="H129" s="347">
        <f>IF(A129&lt;='Eingabeblatt 1'!$D$18,H128*(1+'Eingabeblatt 1'!$J$42),"")</f>
        <v>-457117.49646064872</v>
      </c>
      <c r="I129" s="347">
        <f>IF(A129&lt;='Eingabeblatt 1'!$D$18,(-'Eingabeblatt 1'!$L$45*(1+'Eingabeblatt 1'!$J$45)^'Zusammenfassung Ergebnis'!D129)-('Eingabeblatt 1'!$L$46*(1+'Eingabeblatt 1'!$J$46)^'Zusammenfassung Ergebnis'!D129)-('Eingabeblatt 1'!$L$47*(1+'Eingabeblatt 1'!$J$47)^'Zusammenfassung Ergebnis'!D129),"")</f>
        <v>-251098.11803784303</v>
      </c>
      <c r="J129" s="347">
        <f>IF(A128&lt;='Eingabeblatt 1'!$D$18,'Eingabeblatt 1'!$D$51*(1+'Eingabeblatt 1'!$J$51)^'Zusammenfassung Ergebnis'!D129,"")</f>
        <v>0</v>
      </c>
      <c r="K129" s="348">
        <f t="shared" si="12"/>
        <v>0</v>
      </c>
      <c r="L129" s="348">
        <f>IF(D129&lt;='Eingabeblatt 1'!$D$18,(SUMIFS('Eingabeblatt 2'!$K$14:$K$53,'Eingabeblatt 2'!$E$14:$E$53,'Zusammenfassung Ergebnis'!D129))*(1+'Eingabeblatt 1'!$J$34)^'Zusammenfassung Ergebnis'!D129,"")</f>
        <v>0</v>
      </c>
      <c r="M129" s="349">
        <f>IF(A129&lt;='Eingabeblatt 1'!$D$18,SUM(G129:L129)+E129,"")</f>
        <v>-1160977.9351573205</v>
      </c>
      <c r="N129" s="350">
        <f>IF(A129&lt;='Eingabeblatt 1'!$D$18,(E129+G129+I129+H129+J129+K129+L129)/(1+'Eingabeblatt 1'!$D$19)^D129,"")</f>
        <v>-697253.26242963318</v>
      </c>
      <c r="O129" s="350">
        <f>IF(A129&lt;='Eingabeblatt 1'!$D$18,O128+N129,"")</f>
        <v>-49206741.283911519</v>
      </c>
      <c r="R129" s="351">
        <f>(((40-D129)/40*$Q$116))*('Eingabeblatt 1'!$D$20)+$Q$116/40</f>
        <v>110764.5</v>
      </c>
      <c r="S129" s="351"/>
      <c r="T129" s="351">
        <f>(((30-D129)/30*$S$116))*('Eingabeblatt 1'!$D$20)+$S$116/30</f>
        <v>0</v>
      </c>
      <c r="U129" s="351"/>
      <c r="V129" s="351">
        <f>(((20-D129)/20*$U$116))*('Eingabeblatt 1'!$D$20)+$U$116/20</f>
        <v>529736.34</v>
      </c>
      <c r="W129" s="351"/>
      <c r="X129" s="351">
        <f>(((10-D120)/10*$W$126))*('Eingabeblatt 1'!$D$20)+$W$126/10</f>
        <v>814956.47653776198</v>
      </c>
      <c r="Y129" s="354">
        <f t="shared" si="11"/>
        <v>1455457.3165377621</v>
      </c>
      <c r="AG129" s="342"/>
      <c r="AH129" s="342"/>
      <c r="AI129" s="342"/>
      <c r="AJ129" s="342"/>
    </row>
    <row r="130" spans="1:36" s="341" customFormat="1" x14ac:dyDescent="0.3">
      <c r="A130" s="345">
        <v>14</v>
      </c>
      <c r="C130" s="346">
        <f>IF(A130&lt;='Eingabeblatt 1'!$D$18,C129+1,"")</f>
        <v>2032</v>
      </c>
      <c r="D130" s="345">
        <f>IF(A130&lt;='Eingabeblatt 1'!$D$18,D129+1,"")</f>
        <v>14</v>
      </c>
      <c r="E130" s="354">
        <f>IF(A130&lt;='Eingabeblatt 1'!$D$18,IF(D130='Eingabeblatt 1'!$D$34,-'Eingabeblatt 1'!$L$34*(1+'Eingabeblatt 1'!$J$34)^D130,IF(D130='Eingabeblatt 1'!$D$35,-'Eingabeblatt 1'!$L$35*(1+'Eingabeblatt 1'!$J$35)^D130,IF(D130='Eingabeblatt 1'!$D$36,-'Eingabeblatt 1'!$L$36*(1+'Eingabeblatt 1'!$J$36)^D130,0))),"")</f>
        <v>0</v>
      </c>
      <c r="F130" s="354">
        <f t="shared" si="10"/>
        <v>-1430172.4023138734</v>
      </c>
      <c r="G130" s="347">
        <f>IF(A130&lt;='Eingabeblatt 1'!$D$18,IF(D130='Eingabeblatt 1'!$D$41,-('Eingabeblatt 1'!$L$40+'Eingabeblatt 1'!$L$41)*(1+'Eingabeblatt 1'!$J$40)^D130,-('Eingabeblatt 1'!$L$40)*(1+'Eingabeblatt 1'!$J$40)^D130),"")</f>
        <v>-461817.56707200524</v>
      </c>
      <c r="H130" s="347">
        <f>IF(A130&lt;='Eingabeblatt 1'!$D$18,H129*(1+'Eingabeblatt 1'!$J$42),"")</f>
        <v>-467402.64013101329</v>
      </c>
      <c r="I130" s="347">
        <f>IF(A130&lt;='Eingabeblatt 1'!$D$18,(-'Eingabeblatt 1'!$L$45*(1+'Eingabeblatt 1'!$J$45)^'Zusammenfassung Ergebnis'!D130)-('Eingabeblatt 1'!$L$46*(1+'Eingabeblatt 1'!$J$46)^'Zusammenfassung Ergebnis'!D130)-('Eingabeblatt 1'!$L$47*(1+'Eingabeblatt 1'!$J$47)^'Zusammenfassung Ergebnis'!D130),"")</f>
        <v>-252908.62064334255</v>
      </c>
      <c r="J130" s="347">
        <f>IF(A129&lt;='Eingabeblatt 1'!$D$18,'Eingabeblatt 1'!$D$51*(1+'Eingabeblatt 1'!$J$51)^'Zusammenfassung Ergebnis'!D130,"")</f>
        <v>0</v>
      </c>
      <c r="K130" s="348">
        <f t="shared" si="12"/>
        <v>0</v>
      </c>
      <c r="L130" s="348">
        <f>IF(D130&lt;='Eingabeblatt 1'!$D$18,(SUMIFS('Eingabeblatt 2'!$K$14:$K$53,'Eingabeblatt 2'!$E$14:$E$53,'Zusammenfassung Ergebnis'!D130))*(1+'Eingabeblatt 1'!$J$34)^'Zusammenfassung Ergebnis'!D130,"")</f>
        <v>0</v>
      </c>
      <c r="M130" s="349">
        <f>IF(A130&lt;='Eingabeblatt 1'!$D$18,SUM(G130:L130)+E130,"")</f>
        <v>-1182128.8278463611</v>
      </c>
      <c r="N130" s="350">
        <f>IF(A130&lt;='Eingabeblatt 1'!$D$18,(E130+G130+I130+H130+J130+K130+L130)/(1+'Eingabeblatt 1'!$D$19)^D130,"")</f>
        <v>-682649.94276662159</v>
      </c>
      <c r="O130" s="350">
        <f>IF(A130&lt;='Eingabeblatt 1'!$D$18,O129+N130,"")</f>
        <v>-49889391.22667814</v>
      </c>
      <c r="R130" s="351">
        <f>(((40-D130)/40*$Q$116))*('Eingabeblatt 1'!$D$20)+$Q$116/40</f>
        <v>109326</v>
      </c>
      <c r="S130" s="351"/>
      <c r="T130" s="351">
        <f>(((30-D130)/30*$S$116))*('Eingabeblatt 1'!$D$20)+$S$116/30</f>
        <v>0</v>
      </c>
      <c r="U130" s="351"/>
      <c r="V130" s="351">
        <f>(((20-D130)/20*$U$116))*('Eingabeblatt 1'!$D$20)+$U$116/20</f>
        <v>520442.72</v>
      </c>
      <c r="W130" s="351"/>
      <c r="X130" s="351">
        <f>(((10-D121)/10*$W$126))*('Eingabeblatt 1'!$D$20)+$W$126/10</f>
        <v>800403.68231387343</v>
      </c>
      <c r="Y130" s="354">
        <f t="shared" si="11"/>
        <v>1430172.4023138734</v>
      </c>
      <c r="AG130" s="342"/>
      <c r="AH130" s="342"/>
      <c r="AI130" s="342"/>
      <c r="AJ130" s="342"/>
    </row>
    <row r="131" spans="1:36" s="341" customFormat="1" x14ac:dyDescent="0.3">
      <c r="A131" s="345">
        <v>15</v>
      </c>
      <c r="C131" s="346">
        <f>IF(A131&lt;='Eingabeblatt 1'!$D$18,C130+1,"")</f>
        <v>2033</v>
      </c>
      <c r="D131" s="345">
        <f>IF(A131&lt;='Eingabeblatt 1'!$D$18,D130+1,"")</f>
        <v>15</v>
      </c>
      <c r="E131" s="354">
        <f>IF(A131&lt;='Eingabeblatt 1'!$D$18,IF(D131='Eingabeblatt 1'!$D$34,-'Eingabeblatt 1'!$L$34*(1+'Eingabeblatt 1'!$J$34)^D131,IF(D131='Eingabeblatt 1'!$D$35,-'Eingabeblatt 1'!$L$35*(1+'Eingabeblatt 1'!$J$35)^D131,IF(D131='Eingabeblatt 1'!$D$36,-'Eingabeblatt 1'!$L$36*(1+'Eingabeblatt 1'!$J$36)^D131,0))),"")</f>
        <v>0</v>
      </c>
      <c r="F131" s="354">
        <f t="shared" si="10"/>
        <v>-1404887.4880899847</v>
      </c>
      <c r="G131" s="347">
        <f>IF(A131&lt;='Eingabeblatt 1'!$D$18,IF(D131='Eingabeblatt 1'!$D$41,-('Eingabeblatt 1'!$L$40+'Eingabeblatt 1'!$L$41)*(1+'Eingabeblatt 1'!$J$40)^D131,-('Eingabeblatt 1'!$L$40)*(1+'Eingabeblatt 1'!$J$40)^D131),"")</f>
        <v>-471053.91841344524</v>
      </c>
      <c r="H131" s="347">
        <f>IF(A131&lt;='Eingabeblatt 1'!$D$18,H130*(1+'Eingabeblatt 1'!$J$42),"")</f>
        <v>-477919.19953396107</v>
      </c>
      <c r="I131" s="347">
        <f>IF(A131&lt;='Eingabeblatt 1'!$D$18,(-'Eingabeblatt 1'!$L$45*(1+'Eingabeblatt 1'!$J$45)^'Zusammenfassung Ergebnis'!D131)-('Eingabeblatt 1'!$L$46*(1+'Eingabeblatt 1'!$J$46)^'Zusammenfassung Ergebnis'!D131)-('Eingabeblatt 1'!$L$47*(1+'Eingabeblatt 1'!$J$47)^'Zusammenfassung Ergebnis'!D131),"")</f>
        <v>-254733.72588202264</v>
      </c>
      <c r="J131" s="347">
        <f>IF(A130&lt;='Eingabeblatt 1'!$D$18,'Eingabeblatt 1'!$D$51*(1+'Eingabeblatt 1'!$J$51)^'Zusammenfassung Ergebnis'!D131,"")</f>
        <v>0</v>
      </c>
      <c r="K131" s="348">
        <f t="shared" si="12"/>
        <v>0</v>
      </c>
      <c r="L131" s="348">
        <f>IF(D131&lt;='Eingabeblatt 1'!$D$18,(SUMIFS('Eingabeblatt 2'!$K$14:$K$53,'Eingabeblatt 2'!$E$14:$E$53,'Zusammenfassung Ergebnis'!D131))*(1+'Eingabeblatt 1'!$J$34)^'Zusammenfassung Ergebnis'!D131,"")</f>
        <v>0</v>
      </c>
      <c r="M131" s="349">
        <f>IF(A131&lt;='Eingabeblatt 1'!$D$18,SUM(G131:L131)+E131,"")</f>
        <v>-1203706.843829429</v>
      </c>
      <c r="N131" s="350">
        <f>IF(A131&lt;='Eingabeblatt 1'!$D$18,(E131+G131+I131+H131+J131+K131+L131)/(1+'Eingabeblatt 1'!$D$19)^D131,"")</f>
        <v>-668375.68205151346</v>
      </c>
      <c r="O131" s="350">
        <f>IF(A131&lt;='Eingabeblatt 1'!$D$18,O130+N131,"")</f>
        <v>-50557766.908729658</v>
      </c>
      <c r="R131" s="351">
        <f>(((40-D131)/40*$Q$116))*('Eingabeblatt 1'!$D$20)+$Q$116/40</f>
        <v>107887.5</v>
      </c>
      <c r="S131" s="351"/>
      <c r="T131" s="351">
        <f>(((30-D131)/30*$S$116))*('Eingabeblatt 1'!$D$20)+$S$116/30</f>
        <v>0</v>
      </c>
      <c r="U131" s="351"/>
      <c r="V131" s="351">
        <f>(((20-D131)/20*$U$116))*('Eingabeblatt 1'!$D$20)+$U$116/20</f>
        <v>511149.1</v>
      </c>
      <c r="W131" s="351"/>
      <c r="X131" s="351">
        <f>(((10-D122)/10*$W$126))*('Eingabeblatt 1'!$D$20)+$W$126/10</f>
        <v>785850.88808998477</v>
      </c>
      <c r="Y131" s="354">
        <f t="shared" si="11"/>
        <v>1404887.4880899847</v>
      </c>
      <c r="AG131" s="342"/>
      <c r="AH131" s="342"/>
      <c r="AI131" s="342"/>
      <c r="AJ131" s="342"/>
    </row>
    <row r="132" spans="1:36" s="341" customFormat="1" x14ac:dyDescent="0.3">
      <c r="A132" s="345">
        <v>16</v>
      </c>
      <c r="C132" s="346">
        <f>IF(A132&lt;='Eingabeblatt 1'!$D$18,C131+1,"")</f>
        <v>2034</v>
      </c>
      <c r="D132" s="345">
        <f>IF(A132&lt;='Eingabeblatt 1'!$D$18,D131+1,"")</f>
        <v>16</v>
      </c>
      <c r="E132" s="354">
        <f>IF(A132&lt;='Eingabeblatt 1'!$D$18,IF(D132='Eingabeblatt 1'!$D$34,-'Eingabeblatt 1'!$L$34*(1+'Eingabeblatt 1'!$J$34)^D132,IF(D132='Eingabeblatt 1'!$D$35,-'Eingabeblatt 1'!$L$35*(1+'Eingabeblatt 1'!$J$35)^D132,IF(D132='Eingabeblatt 1'!$D$36,-'Eingabeblatt 1'!$L$36*(1+'Eingabeblatt 1'!$J$36)^D132,0))),"")</f>
        <v>0</v>
      </c>
      <c r="F132" s="354">
        <f t="shared" si="10"/>
        <v>-1379602.5738660963</v>
      </c>
      <c r="G132" s="347">
        <f>IF(A132&lt;='Eingabeblatt 1'!$D$18,IF(D132='Eingabeblatt 1'!$D$41,-('Eingabeblatt 1'!$L$40+'Eingabeblatt 1'!$L$41)*(1+'Eingabeblatt 1'!$J$40)^D132,-('Eingabeblatt 1'!$L$40)*(1+'Eingabeblatt 1'!$J$40)^D132),"")</f>
        <v>-480474.9967817142</v>
      </c>
      <c r="H132" s="347">
        <f>IF(A132&lt;='Eingabeblatt 1'!$D$18,H131*(1+'Eingabeblatt 1'!$J$42),"")</f>
        <v>-488672.38152347517</v>
      </c>
      <c r="I132" s="347">
        <f>IF(A132&lt;='Eingabeblatt 1'!$D$18,(-'Eingabeblatt 1'!$L$45*(1+'Eingabeblatt 1'!$J$45)^'Zusammenfassung Ergebnis'!D132)-('Eingabeblatt 1'!$L$46*(1+'Eingabeblatt 1'!$J$46)^'Zusammenfassung Ergebnis'!D132)-('Eingabeblatt 1'!$L$47*(1+'Eingabeblatt 1'!$J$47)^'Zusammenfassung Ergebnis'!D132),"")</f>
        <v>-256573.56226825085</v>
      </c>
      <c r="J132" s="347">
        <f>IF(A131&lt;='Eingabeblatt 1'!$D$18,'Eingabeblatt 1'!$D$51*(1+'Eingabeblatt 1'!$J$51)^'Zusammenfassung Ergebnis'!D132,"")</f>
        <v>0</v>
      </c>
      <c r="K132" s="348">
        <f t="shared" si="12"/>
        <v>0</v>
      </c>
      <c r="L132" s="348">
        <f>IF(D132&lt;='Eingabeblatt 1'!$D$18,(SUMIFS('Eingabeblatt 2'!$K$14:$K$53,'Eingabeblatt 2'!$E$14:$E$53,'Zusammenfassung Ergebnis'!D132))*(1+'Eingabeblatt 1'!$J$34)^'Zusammenfassung Ergebnis'!D132,"")</f>
        <v>0</v>
      </c>
      <c r="M132" s="349">
        <f>IF(A132&lt;='Eingabeblatt 1'!$D$18,SUM(G132:L132)+E132,"")</f>
        <v>-1225720.9405734402</v>
      </c>
      <c r="N132" s="350">
        <f>IF(A132&lt;='Eingabeblatt 1'!$D$18,(E132+G132+I132+H132+J132+K132+L132)/(1+'Eingabeblatt 1'!$D$19)^D132,"")</f>
        <v>-654422.43128149875</v>
      </c>
      <c r="O132" s="350">
        <f>IF(A132&lt;='Eingabeblatt 1'!$D$18,O131+N132,"")</f>
        <v>-51212189.340011157</v>
      </c>
      <c r="R132" s="351">
        <f>(((40-D132)/40*$Q$116))*('Eingabeblatt 1'!$D$20)+$Q$116/40</f>
        <v>106449</v>
      </c>
      <c r="S132" s="351"/>
      <c r="T132" s="351">
        <f>(((30-D132)/30*$S$116))*('Eingabeblatt 1'!$D$20)+$S$116/30</f>
        <v>0</v>
      </c>
      <c r="U132" s="351"/>
      <c r="V132" s="351">
        <f>(((20-D132)/20*$U$116))*('Eingabeblatt 1'!$D$20)+$U$116/20</f>
        <v>501855.48</v>
      </c>
      <c r="W132" s="351"/>
      <c r="X132" s="351">
        <f>(((10-D123)/10*$W$126))*('Eingabeblatt 1'!$D$20)+$W$126/10</f>
        <v>771298.09386609623</v>
      </c>
      <c r="Y132" s="354">
        <f t="shared" si="11"/>
        <v>1379602.5738660963</v>
      </c>
      <c r="AG132" s="342"/>
      <c r="AH132" s="342"/>
      <c r="AI132" s="342"/>
      <c r="AJ132" s="342"/>
    </row>
    <row r="133" spans="1:36" s="341" customFormat="1" x14ac:dyDescent="0.3">
      <c r="A133" s="345">
        <v>17</v>
      </c>
      <c r="C133" s="346">
        <f>IF(A133&lt;='Eingabeblatt 1'!$D$18,C132+1,"")</f>
        <v>2035</v>
      </c>
      <c r="D133" s="345">
        <f>IF(A133&lt;='Eingabeblatt 1'!$D$18,D132+1,"")</f>
        <v>17</v>
      </c>
      <c r="E133" s="354">
        <f>IF(A133&lt;='Eingabeblatt 1'!$D$18,IF(D133='Eingabeblatt 1'!$D$34,-'Eingabeblatt 1'!$L$34*(1+'Eingabeblatt 1'!$J$34)^D133,IF(D133='Eingabeblatt 1'!$D$35,-'Eingabeblatt 1'!$L$35*(1+'Eingabeblatt 1'!$J$35)^D133,IF(D133='Eingabeblatt 1'!$D$36,-'Eingabeblatt 1'!$L$36*(1+'Eingabeblatt 1'!$J$36)^D133,0))),"")</f>
        <v>0</v>
      </c>
      <c r="F133" s="354">
        <f t="shared" si="10"/>
        <v>-1354317.6596422074</v>
      </c>
      <c r="G133" s="347">
        <f>IF(A133&lt;='Eingabeblatt 1'!$D$18,IF(D133='Eingabeblatt 1'!$D$41,-('Eingabeblatt 1'!$L$40+'Eingabeblatt 1'!$L$41)*(1+'Eingabeblatt 1'!$J$40)^D133,-('Eingabeblatt 1'!$L$40)*(1+'Eingabeblatt 1'!$J$40)^D133),"")</f>
        <v>-490084.49671734852</v>
      </c>
      <c r="H133" s="347">
        <f>IF(A133&lt;='Eingabeblatt 1'!$D$18,H132*(1+'Eingabeblatt 1'!$J$42),"")</f>
        <v>-499667.51010775333</v>
      </c>
      <c r="I133" s="347">
        <f>IF(A133&lt;='Eingabeblatt 1'!$D$18,(-'Eingabeblatt 1'!$L$45*(1+'Eingabeblatt 1'!$J$45)^'Zusammenfassung Ergebnis'!D133)-('Eingabeblatt 1'!$L$46*(1+'Eingabeblatt 1'!$J$46)^'Zusammenfassung Ergebnis'!D133)-('Eingabeblatt 1'!$L$47*(1+'Eingabeblatt 1'!$J$47)^'Zusammenfassung Ergebnis'!D133),"")</f>
        <v>-258428.25951397835</v>
      </c>
      <c r="J133" s="347">
        <f>IF(A132&lt;='Eingabeblatt 1'!$D$18,'Eingabeblatt 1'!$D$51*(1+'Eingabeblatt 1'!$J$51)^'Zusammenfassung Ergebnis'!D133,"")</f>
        <v>0</v>
      </c>
      <c r="K133" s="348">
        <f t="shared" si="12"/>
        <v>0</v>
      </c>
      <c r="L133" s="348">
        <f>IF(D133&lt;='Eingabeblatt 1'!$D$18,(SUMIFS('Eingabeblatt 2'!$K$14:$K$53,'Eingabeblatt 2'!$E$14:$E$53,'Zusammenfassung Ergebnis'!D133))*(1+'Eingabeblatt 1'!$J$34)^'Zusammenfassung Ergebnis'!D133,"")</f>
        <v>0</v>
      </c>
      <c r="M133" s="349">
        <f>IF(A133&lt;='Eingabeblatt 1'!$D$18,SUM(G133:L133)+E133,"")</f>
        <v>-1248180.2663390802</v>
      </c>
      <c r="N133" s="350">
        <f>IF(A133&lt;='Eingabeblatt 1'!$D$18,(E133+G133+I133+H133+J133+K133+L133)/(1+'Eingabeblatt 1'!$D$19)^D133,"")</f>
        <v>-640782.35473862069</v>
      </c>
      <c r="O133" s="350">
        <f>IF(A133&lt;='Eingabeblatt 1'!$D$18,O132+N133,"")</f>
        <v>-51852971.69474978</v>
      </c>
      <c r="R133" s="351">
        <f>(((40-D133)/40*$Q$116))*('Eingabeblatt 1'!$D$20)+$Q$116/40</f>
        <v>105010.5</v>
      </c>
      <c r="S133" s="351"/>
      <c r="T133" s="351">
        <f>(((30-D133)/30*$S$116))*('Eingabeblatt 1'!$D$20)+$S$116/30</f>
        <v>0</v>
      </c>
      <c r="U133" s="351"/>
      <c r="V133" s="351">
        <f>(((20-D133)/20*$U$116))*('Eingabeblatt 1'!$D$20)+$U$116/20</f>
        <v>492561.86</v>
      </c>
      <c r="W133" s="351"/>
      <c r="X133" s="351">
        <f>(((10-D124)/10*$W$126))*('Eingabeblatt 1'!$D$20)+$W$126/10</f>
        <v>756745.29964220757</v>
      </c>
      <c r="Y133" s="354">
        <f t="shared" si="11"/>
        <v>1354317.6596422074</v>
      </c>
      <c r="AG133" s="342"/>
      <c r="AH133" s="342"/>
      <c r="AI133" s="342"/>
      <c r="AJ133" s="342"/>
    </row>
    <row r="134" spans="1:36" s="341" customFormat="1" x14ac:dyDescent="0.3">
      <c r="A134" s="345">
        <v>18</v>
      </c>
      <c r="C134" s="346">
        <f>IF(A134&lt;='Eingabeblatt 1'!$D$18,C133+1,"")</f>
        <v>2036</v>
      </c>
      <c r="D134" s="345">
        <f>IF(A134&lt;='Eingabeblatt 1'!$D$18,D133+1,"")</f>
        <v>18</v>
      </c>
      <c r="E134" s="354">
        <f>IF(A134&lt;='Eingabeblatt 1'!$D$18,IF(D134='Eingabeblatt 1'!$D$34,-'Eingabeblatt 1'!$L$34*(1+'Eingabeblatt 1'!$J$34)^D134,IF(D134='Eingabeblatt 1'!$D$35,-'Eingabeblatt 1'!$L$35*(1+'Eingabeblatt 1'!$J$35)^D134,IF(D134='Eingabeblatt 1'!$D$36,-'Eingabeblatt 1'!$L$36*(1+'Eingabeblatt 1'!$J$36)^D134,0))),"")</f>
        <v>0</v>
      </c>
      <c r="F134" s="354">
        <f t="shared" si="10"/>
        <v>-1329032.745418319</v>
      </c>
      <c r="G134" s="347">
        <f>IF(A134&lt;='Eingabeblatt 1'!$D$18,IF(D134='Eingabeblatt 1'!$D$41,-('Eingabeblatt 1'!$L$40+'Eingabeblatt 1'!$L$41)*(1+'Eingabeblatt 1'!$J$40)^D134,-('Eingabeblatt 1'!$L$40)*(1+'Eingabeblatt 1'!$J$40)^D134),"")</f>
        <v>-499886.18665169546</v>
      </c>
      <c r="H134" s="347">
        <f>IF(A134&lt;='Eingabeblatt 1'!$D$18,H133*(1+'Eingabeblatt 1'!$J$42),"")</f>
        <v>-510910.02908517775</v>
      </c>
      <c r="I134" s="347">
        <f>IF(A134&lt;='Eingabeblatt 1'!$D$18,(-'Eingabeblatt 1'!$L$45*(1+'Eingabeblatt 1'!$J$45)^'Zusammenfassung Ergebnis'!D134)-('Eingabeblatt 1'!$L$46*(1+'Eingabeblatt 1'!$J$46)^'Zusammenfassung Ergebnis'!D134)-('Eingabeblatt 1'!$L$47*(1+'Eingabeblatt 1'!$J$47)^'Zusammenfassung Ergebnis'!D134),"")</f>
        <v>-260297.9485402783</v>
      </c>
      <c r="J134" s="347">
        <f>IF(A133&lt;='Eingabeblatt 1'!$D$18,'Eingabeblatt 1'!$D$51*(1+'Eingabeblatt 1'!$J$51)^'Zusammenfassung Ergebnis'!D134,"")</f>
        <v>0</v>
      </c>
      <c r="K134" s="348">
        <f t="shared" si="12"/>
        <v>0</v>
      </c>
      <c r="L134" s="348">
        <f>IF(D134&lt;='Eingabeblatt 1'!$D$18,(SUMIFS('Eingabeblatt 2'!$K$14:$K$53,'Eingabeblatt 2'!$E$14:$E$53,'Zusammenfassung Ergebnis'!D134))*(1+'Eingabeblatt 1'!$J$34)^'Zusammenfassung Ergebnis'!D134,"")</f>
        <v>0</v>
      </c>
      <c r="M134" s="349">
        <f>IF(A134&lt;='Eingabeblatt 1'!$D$18,SUM(G134:L134)+E134,"")</f>
        <v>-1271094.1642771515</v>
      </c>
      <c r="N134" s="350">
        <f>IF(A134&lt;='Eingabeblatt 1'!$D$18,(E134+G134+I134+H134+J134+K134+L134)/(1+'Eingabeblatt 1'!$D$19)^D134,"")</f>
        <v>-627447.82394058118</v>
      </c>
      <c r="O134" s="350">
        <f>IF(A134&lt;='Eingabeblatt 1'!$D$18,O133+N134,"")</f>
        <v>-52480419.518690363</v>
      </c>
      <c r="R134" s="351">
        <f>(((40-D134)/40*$Q$116))*('Eingabeblatt 1'!$D$20)+$Q$116/40</f>
        <v>103572</v>
      </c>
      <c r="S134" s="351"/>
      <c r="T134" s="351">
        <f>(((30-D134)/30*$S$116))*('Eingabeblatt 1'!$D$20)+$S$116/30</f>
        <v>0</v>
      </c>
      <c r="U134" s="351"/>
      <c r="V134" s="351">
        <f>(((20-D134)/20*$U$116))*('Eingabeblatt 1'!$D$20)+$U$116/20</f>
        <v>483268.24</v>
      </c>
      <c r="W134" s="351"/>
      <c r="X134" s="351">
        <f>(((10-D125)/10*$W$126))*('Eingabeblatt 1'!$D$20)+$W$126/10</f>
        <v>742192.50541831902</v>
      </c>
      <c r="Y134" s="354">
        <f t="shared" si="11"/>
        <v>1329032.745418319</v>
      </c>
      <c r="AG134" s="342"/>
      <c r="AH134" s="342"/>
      <c r="AI134" s="342"/>
      <c r="AJ134" s="342"/>
    </row>
    <row r="135" spans="1:36" s="341" customFormat="1" x14ac:dyDescent="0.3">
      <c r="A135" s="345">
        <v>19</v>
      </c>
      <c r="C135" s="346">
        <f>IF(A135&lt;='Eingabeblatt 1'!$D$18,C134+1,"")</f>
        <v>2037</v>
      </c>
      <c r="D135" s="345">
        <f>IF(A135&lt;='Eingabeblatt 1'!$D$18,D134+1,"")</f>
        <v>19</v>
      </c>
      <c r="E135" s="354">
        <f>IF(A135&lt;='Eingabeblatt 1'!$D$18,IF(D135='Eingabeblatt 1'!$D$34,-'Eingabeblatt 1'!$L$34*(1+'Eingabeblatt 1'!$J$34)^D135,IF(D135='Eingabeblatt 1'!$D$35,-'Eingabeblatt 1'!$L$35*(1+'Eingabeblatt 1'!$J$35)^D135,IF(D135='Eingabeblatt 1'!$D$36,-'Eingabeblatt 1'!$L$36*(1+'Eingabeblatt 1'!$J$36)^D135,0))),"")</f>
        <v>0</v>
      </c>
      <c r="F135" s="354">
        <f t="shared" si="10"/>
        <v>-1303747.8311944304</v>
      </c>
      <c r="G135" s="347">
        <f>IF(A135&lt;='Eingabeblatt 1'!$D$18,IF(D135='Eingabeblatt 1'!$D$41,-('Eingabeblatt 1'!$L$40+'Eingabeblatt 1'!$L$41)*(1+'Eingabeblatt 1'!$J$40)^D135,-('Eingabeblatt 1'!$L$40)*(1+'Eingabeblatt 1'!$J$40)^D135),"")</f>
        <v>-509883.91038472933</v>
      </c>
      <c r="H135" s="347">
        <f>IF(A135&lt;='Eingabeblatt 1'!$D$18,H134*(1+'Eingabeblatt 1'!$J$42),"")</f>
        <v>-522405.50473959424</v>
      </c>
      <c r="I135" s="347">
        <f>IF(A135&lt;='Eingabeblatt 1'!$D$18,(-'Eingabeblatt 1'!$L$45*(1+'Eingabeblatt 1'!$J$45)^'Zusammenfassung Ergebnis'!D135)-('Eingabeblatt 1'!$L$46*(1+'Eingabeblatt 1'!$J$46)^'Zusammenfassung Ergebnis'!D135)-('Eingabeblatt 1'!$L$47*(1+'Eingabeblatt 1'!$J$47)^'Zusammenfassung Ergebnis'!D135),"")</f>
        <v>-262182.76148899709</v>
      </c>
      <c r="J135" s="347">
        <f>IF(A134&lt;='Eingabeblatt 1'!$D$18,'Eingabeblatt 1'!$D$51*(1+'Eingabeblatt 1'!$J$51)^'Zusammenfassung Ergebnis'!D135,"")</f>
        <v>0</v>
      </c>
      <c r="K135" s="348">
        <f t="shared" si="12"/>
        <v>0</v>
      </c>
      <c r="L135" s="348">
        <f>IF(D135&lt;='Eingabeblatt 1'!$D$18,(SUMIFS('Eingabeblatt 2'!$K$14:$K$53,'Eingabeblatt 2'!$E$14:$E$53,'Zusammenfassung Ergebnis'!D135))*(1+'Eingabeblatt 1'!$J$34)^'Zusammenfassung Ergebnis'!D135,"")</f>
        <v>0</v>
      </c>
      <c r="M135" s="349">
        <f>IF(A135&lt;='Eingabeblatt 1'!$D$18,SUM(G135:L135)+E135,"")</f>
        <v>-1294472.1766133206</v>
      </c>
      <c r="N135" s="350">
        <f>IF(A135&lt;='Eingabeblatt 1'!$D$18,(E135+G135+I135+H135+J135+K135+L135)/(1+'Eingabeblatt 1'!$D$19)^D135,"")</f>
        <v>-614411.41177217674</v>
      </c>
      <c r="O135" s="350">
        <f>IF(A135&lt;='Eingabeblatt 1'!$D$18,O134+N135,"")</f>
        <v>-53094830.930462539</v>
      </c>
      <c r="R135" s="351">
        <f>(((40-D135)/40*$Q$116))*('Eingabeblatt 1'!$D$20)+$Q$116/40</f>
        <v>102133.5</v>
      </c>
      <c r="S135" s="351"/>
      <c r="T135" s="351">
        <f>(((30-D135)/30*$S$116))*('Eingabeblatt 1'!$D$20)+$S$116/30</f>
        <v>0</v>
      </c>
      <c r="U135" s="351"/>
      <c r="V135" s="351">
        <f>(((20-D135)/20*$U$116))*('Eingabeblatt 1'!$D$20)+$U$116/20</f>
        <v>473974.62</v>
      </c>
      <c r="W135" s="351"/>
      <c r="X135" s="351">
        <f>(((10-D126)/10*$W$126))*('Eingabeblatt 1'!$D$20)+$W$126/10</f>
        <v>727639.71119443036</v>
      </c>
      <c r="Y135" s="354">
        <f t="shared" si="11"/>
        <v>1303747.8311944304</v>
      </c>
      <c r="AG135" s="342"/>
      <c r="AH135" s="342"/>
      <c r="AI135" s="342"/>
      <c r="AJ135" s="342"/>
    </row>
    <row r="136" spans="1:36" s="341" customFormat="1" x14ac:dyDescent="0.3">
      <c r="A136" s="345">
        <v>20</v>
      </c>
      <c r="C136" s="346">
        <f>IF(A136&lt;='Eingabeblatt 1'!$D$18,C135+1,"")</f>
        <v>2038</v>
      </c>
      <c r="D136" s="345">
        <f>IF(A136&lt;='Eingabeblatt 1'!$D$18,D135+1,"")</f>
        <v>20</v>
      </c>
      <c r="E136" s="354">
        <f>IF(A136&lt;='Eingabeblatt 1'!$D$18,IF(D136='Eingabeblatt 1'!$D$34,-'Eingabeblatt 1'!$L$34*(1+'Eingabeblatt 1'!$J$34)^D136,IF(D136='Eingabeblatt 1'!$D$35,-'Eingabeblatt 1'!$L$35*(1+'Eingabeblatt 1'!$J$35)^D136,IF(D136='Eingabeblatt 1'!$D$36,-'Eingabeblatt 1'!$L$36*(1+'Eingabeblatt 1'!$J$36)^D136,0))),"")</f>
        <v>-38324187.333338864</v>
      </c>
      <c r="F136" s="354">
        <f t="shared" si="10"/>
        <v>-2100220.0225375285</v>
      </c>
      <c r="G136" s="347">
        <f>IF(A136&lt;='Eingabeblatt 1'!$D$18,IF(D136='Eingabeblatt 1'!$D$41,-('Eingabeblatt 1'!$L$40+'Eingabeblatt 1'!$L$41)*(1+'Eingabeblatt 1'!$J$40)^D136,-('Eingabeblatt 1'!$L$40)*(1+'Eingabeblatt 1'!$J$40)^D136),"")</f>
        <v>-520081.588592424</v>
      </c>
      <c r="H136" s="347">
        <f>IF(A136&lt;='Eingabeblatt 1'!$D$18,H135*(1+'Eingabeblatt 1'!$J$42),"")</f>
        <v>-534159.62859623507</v>
      </c>
      <c r="I136" s="347">
        <f>IF(A136&lt;='Eingabeblatt 1'!$D$18,(-'Eingabeblatt 1'!$L$45*(1+'Eingabeblatt 1'!$J$45)^'Zusammenfassung Ergebnis'!D136)-('Eingabeblatt 1'!$L$46*(1+'Eingabeblatt 1'!$J$46)^'Zusammenfassung Ergebnis'!D136)-('Eingabeblatt 1'!$L$47*(1+'Eingabeblatt 1'!$J$47)^'Zusammenfassung Ergebnis'!D136),"")</f>
        <v>-264082.83173451963</v>
      </c>
      <c r="J136" s="347">
        <f>IF(A135&lt;='Eingabeblatt 1'!$D$18,'Eingabeblatt 1'!$D$51*(1+'Eingabeblatt 1'!$J$51)^'Zusammenfassung Ergebnis'!D136,"")</f>
        <v>0</v>
      </c>
      <c r="K136" s="348">
        <f t="shared" si="12"/>
        <v>0</v>
      </c>
      <c r="L136" s="348">
        <f>IF(D136&lt;='Eingabeblatt 1'!$D$18,(SUMIFS('Eingabeblatt 2'!$K$14:$K$53,'Eingabeblatt 2'!$E$14:$E$53,'Zusammenfassung Ergebnis'!D136)+SUMIFS('Eingabeblatt 2'!$K$14:$K$53,'Eingabeblatt 2'!$E$14:$E$53,'Zusammenfassung Ergebnis'!D126))*(1+'Eingabeblatt 1'!$J$34)^'Zusammenfassung Ergebnis'!D136,"")</f>
        <v>157932.13584468421</v>
      </c>
      <c r="M136" s="349">
        <f>IF(A136&lt;='Eingabeblatt 1'!$D$18,SUM(G136:L136)+E136,"")</f>
        <v>-39484579.246417359</v>
      </c>
      <c r="N136" s="350">
        <f>IF(A136&lt;='Eingabeblatt 1'!$D$18,(E136+G136+I136+H136+J136+K136+L136)/(1+'Eingabeblatt 1'!$D$19)^D136,"")</f>
        <v>-18020246.544315334</v>
      </c>
      <c r="O136" s="350">
        <f>IF(A136&lt;='Eingabeblatt 1'!$D$18,O135+N136,"")</f>
        <v>-71115077.474777877</v>
      </c>
      <c r="R136" s="351">
        <f>(((40-D136)/40*$Q$116))*('Eingabeblatt 1'!$D$20)+$Q$116/40</f>
        <v>100695</v>
      </c>
      <c r="S136" s="351"/>
      <c r="T136" s="351">
        <f>(((30-D136)/30*$S$116))*('Eingabeblatt 1'!$D$20)+$S$116/30</f>
        <v>0</v>
      </c>
      <c r="U136" s="351">
        <f>(SUMIFS('Eingabeblatt 2'!I14:I37,'Eingabeblatt 2'!E14:E37,20))*(1+'Eingabeblatt 1'!J66)^'Zusammenfassung Ergebnis'!D136</f>
        <v>13809830.438212352</v>
      </c>
      <c r="V136" s="351">
        <f>(((20-D117)/20*$U$136))*('Eingabeblatt 1'!$D$20)+$U$136/20</f>
        <v>952878.30023665226</v>
      </c>
      <c r="W136" s="351">
        <f>(SUMIFS('Eingabeblatt 2'!I14:I37,'Eingabeblatt 2'!E14:E37,10))*(1+'Eingabeblatt 1'!J66)^'Zusammenfassung Ergebnis'!D136</f>
        <v>8869887.4771260731</v>
      </c>
      <c r="X136" s="351">
        <f>(((10-D117)/10*$W$136))*('Eingabeblatt 1'!$D$20)+$W$136/10</f>
        <v>1046646.7223008766</v>
      </c>
      <c r="Y136" s="354">
        <f t="shared" si="11"/>
        <v>2100220.0225375285</v>
      </c>
      <c r="AG136" s="342"/>
      <c r="AH136" s="342"/>
      <c r="AI136" s="342"/>
      <c r="AJ136" s="342"/>
    </row>
    <row r="137" spans="1:36" s="341" customFormat="1" x14ac:dyDescent="0.3">
      <c r="A137" s="345">
        <v>21</v>
      </c>
      <c r="C137" s="346">
        <f>IF(A137&lt;='Eingabeblatt 1'!$D$18,C136+1,"")</f>
        <v>2039</v>
      </c>
      <c r="D137" s="345">
        <f>IF(A137&lt;='Eingabeblatt 1'!$D$18,D136+1,"")</f>
        <v>21</v>
      </c>
      <c r="E137" s="354">
        <f>IF(A137&lt;='Eingabeblatt 1'!$D$18,IF(D137='Eingabeblatt 1'!$D$34,-'Eingabeblatt 1'!$L$34*(1+'Eingabeblatt 1'!$J$34)^D137,IF(D137='Eingabeblatt 1'!$D$35,-'Eingabeblatt 1'!$L$35*(1+'Eingabeblatt 1'!$J$35)^D137,IF(D137='Eingabeblatt 1'!$D$36,-'Eingabeblatt 1'!$L$36*(1+'Eingabeblatt 1'!$J$36)^D137,0))),"")</f>
        <v>0</v>
      </c>
      <c r="F137" s="354">
        <f t="shared" si="10"/>
        <v>-2067231.9171450643</v>
      </c>
      <c r="G137" s="347">
        <f>IF(A137&lt;='Eingabeblatt 1'!$D$18,IF(D137='Eingabeblatt 1'!$D$41,-('Eingabeblatt 1'!$L$40+'Eingabeblatt 1'!$L$41)*(1+'Eingabeblatt 1'!$J$40)^D137,-('Eingabeblatt 1'!$L$40)*(1+'Eingabeblatt 1'!$J$40)^D137),"")</f>
        <v>-530483.22036427248</v>
      </c>
      <c r="H137" s="347">
        <f>IF(A137&lt;='Eingabeblatt 1'!$D$18,H136*(1+'Eingabeblatt 1'!$J$42),"")</f>
        <v>-546178.22023965034</v>
      </c>
      <c r="I137" s="347">
        <f>IF(A137&lt;='Eingabeblatt 1'!$D$18,(-'Eingabeblatt 1'!$L$45*(1+'Eingabeblatt 1'!$J$45)^'Zusammenfassung Ergebnis'!D137)-('Eingabeblatt 1'!$L$46*(1+'Eingabeblatt 1'!$J$46)^'Zusammenfassung Ergebnis'!D137)-('Eingabeblatt 1'!$L$47*(1+'Eingabeblatt 1'!$J$47)^'Zusammenfassung Ergebnis'!D137),"")</f>
        <v>-265998.29389565054</v>
      </c>
      <c r="J137" s="347">
        <f>IF(A136&lt;='Eingabeblatt 1'!$D$18,'Eingabeblatt 1'!$D$51*(1+'Eingabeblatt 1'!$J$51)^'Zusammenfassung Ergebnis'!D137,"")</f>
        <v>0</v>
      </c>
      <c r="K137" s="348">
        <f t="shared" si="12"/>
        <v>0</v>
      </c>
      <c r="L137" s="348">
        <f>IF(D137&lt;='Eingabeblatt 1'!$D$18,(SUMIFS('Eingabeblatt 2'!$K$14:$K$53,'Eingabeblatt 2'!$E$14:$E$53,'Zusammenfassung Ergebnis'!D137))*(1+'Eingabeblatt 1'!$J$34)^'Zusammenfassung Ergebnis'!D137,"")</f>
        <v>0</v>
      </c>
      <c r="M137" s="349">
        <f>IF(A137&lt;='Eingabeblatt 1'!$D$18,SUM(G137:L137)+E137,"")</f>
        <v>-1342659.7344995732</v>
      </c>
      <c r="N137" s="350">
        <f>IF(A137&lt;='Eingabeblatt 1'!$D$18,(E137+G137+I137+H137+J137+K137+L137)/(1+'Eingabeblatt 1'!$D$19)^D137,"")</f>
        <v>-589204.2077074016</v>
      </c>
      <c r="O137" s="350">
        <f>IF(A137&lt;='Eingabeblatt 1'!$D$18,O136+N137,"")</f>
        <v>-71704281.682485282</v>
      </c>
      <c r="R137" s="351">
        <f>(((40-D137)/40*$Q$116))*('Eingabeblatt 1'!$D$20)+$Q$116/40</f>
        <v>99256.5</v>
      </c>
      <c r="S137" s="351"/>
      <c r="T137" s="351">
        <f>(((30-D137)/30*$S$116))*('Eingabeblatt 1'!$D$20)+$S$116/30</f>
        <v>0</v>
      </c>
      <c r="V137" s="351">
        <f>(((20-D118)/20*$U$136))*('Eingabeblatt 1'!$D$20)+$U$136/20</f>
        <v>939068.46979843988</v>
      </c>
      <c r="W137" s="351"/>
      <c r="X137" s="351">
        <f>(((10-D118)/10*$W$136))*('Eingabeblatt 1'!$D$20)+$W$136/10</f>
        <v>1028906.9473466245</v>
      </c>
      <c r="Y137" s="354">
        <f t="shared" si="11"/>
        <v>2067231.9171450643</v>
      </c>
      <c r="AG137" s="342"/>
      <c r="AH137" s="342"/>
      <c r="AI137" s="342"/>
      <c r="AJ137" s="342"/>
    </row>
    <row r="138" spans="1:36" s="341" customFormat="1" x14ac:dyDescent="0.3">
      <c r="A138" s="345">
        <v>22</v>
      </c>
      <c r="C138" s="346">
        <f>IF(A138&lt;='Eingabeblatt 1'!$D$18,C137+1,"")</f>
        <v>2040</v>
      </c>
      <c r="D138" s="345">
        <f>IF(A138&lt;='Eingabeblatt 1'!$D$18,D137+1,"")</f>
        <v>22</v>
      </c>
      <c r="E138" s="354">
        <f>IF(A138&lt;='Eingabeblatt 1'!$D$18,IF(D138='Eingabeblatt 1'!$D$34,-'Eingabeblatt 1'!$L$34*(1+'Eingabeblatt 1'!$J$34)^D138,IF(D138='Eingabeblatt 1'!$D$35,-'Eingabeblatt 1'!$L$35*(1+'Eingabeblatt 1'!$J$35)^D138,IF(D138='Eingabeblatt 1'!$D$36,-'Eingabeblatt 1'!$L$36*(1+'Eingabeblatt 1'!$J$36)^D138,0))),"")</f>
        <v>0</v>
      </c>
      <c r="F138" s="354">
        <f t="shared" si="10"/>
        <v>-2034243.8117525999</v>
      </c>
      <c r="G138" s="347">
        <f>IF(A138&lt;='Eingabeblatt 1'!$D$18,IF(D138='Eingabeblatt 1'!$D$41,-('Eingabeblatt 1'!$L$40+'Eingabeblatt 1'!$L$41)*(1+'Eingabeblatt 1'!$J$40)^D138,-('Eingabeblatt 1'!$L$40)*(1+'Eingabeblatt 1'!$J$40)^D138),"")</f>
        <v>-541092.88477155787</v>
      </c>
      <c r="H138" s="347">
        <f>IF(A138&lt;='Eingabeblatt 1'!$D$18,H137*(1+'Eingabeblatt 1'!$J$42),"")</f>
        <v>-558467.23019504244</v>
      </c>
      <c r="I138" s="347">
        <f>IF(A138&lt;='Eingabeblatt 1'!$D$18,(-'Eingabeblatt 1'!$L$45*(1+'Eingabeblatt 1'!$J$45)^'Zusammenfassung Ergebnis'!D138)-('Eingabeblatt 1'!$L$46*(1+'Eingabeblatt 1'!$J$46)^'Zusammenfassung Ergebnis'!D138)-('Eingabeblatt 1'!$L$47*(1+'Eingabeblatt 1'!$J$47)^'Zusammenfassung Ergebnis'!D138),"")</f>
        <v>-267929.28384761175</v>
      </c>
      <c r="J138" s="347">
        <f>IF(A137&lt;='Eingabeblatt 1'!$D$18,'Eingabeblatt 1'!$D$51*(1+'Eingabeblatt 1'!$J$51)^'Zusammenfassung Ergebnis'!D138,"")</f>
        <v>0</v>
      </c>
      <c r="K138" s="348">
        <f t="shared" si="12"/>
        <v>0</v>
      </c>
      <c r="L138" s="348">
        <f>IF(D138&lt;='Eingabeblatt 1'!$D$18,(SUMIFS('Eingabeblatt 2'!$K$14:$K$53,'Eingabeblatt 2'!$E$14:$E$53,'Zusammenfassung Ergebnis'!D138))*(1+'Eingabeblatt 1'!$J$34)^'Zusammenfassung Ergebnis'!D138,"")</f>
        <v>0</v>
      </c>
      <c r="M138" s="349">
        <f>IF(A138&lt;='Eingabeblatt 1'!$D$18,SUM(G138:L138)+E138,"")</f>
        <v>-1367489.3988142121</v>
      </c>
      <c r="N138" s="350">
        <f>IF(A138&lt;='Eingabeblatt 1'!$D$18,(E138+G138+I138+H138+J138+K138+L138)/(1+'Eingabeblatt 1'!$D$19)^D138,"")</f>
        <v>-577019.51801725116</v>
      </c>
      <c r="O138" s="350">
        <f>IF(A138&lt;='Eingabeblatt 1'!$D$18,O137+N138,"")</f>
        <v>-72281301.20050253</v>
      </c>
      <c r="R138" s="351">
        <f>(((40-D138)/40*$Q$116))*('Eingabeblatt 1'!$D$20)+$Q$116/40</f>
        <v>97818</v>
      </c>
      <c r="S138" s="351"/>
      <c r="T138" s="351">
        <f>(((30-D138)/30*$S$116))*('Eingabeblatt 1'!$D$20)+$S$116/30</f>
        <v>0</v>
      </c>
      <c r="U138" s="351"/>
      <c r="V138" s="351">
        <f>(((20-D119)/20*$U$136))*('Eingabeblatt 1'!$D$20)+$U$136/20</f>
        <v>925258.63936022762</v>
      </c>
      <c r="W138" s="351"/>
      <c r="X138" s="351">
        <f>(((10-D119)/10*$W$136))*('Eingabeblatt 1'!$D$20)+$W$136/10</f>
        <v>1011167.1723923723</v>
      </c>
      <c r="Y138" s="354">
        <f t="shared" si="11"/>
        <v>2034243.8117525999</v>
      </c>
      <c r="AG138" s="342"/>
      <c r="AH138" s="342"/>
      <c r="AI138" s="342"/>
      <c r="AJ138" s="342"/>
    </row>
    <row r="139" spans="1:36" s="341" customFormat="1" x14ac:dyDescent="0.3">
      <c r="A139" s="345">
        <v>23</v>
      </c>
      <c r="C139" s="346">
        <f>IF(A139&lt;='Eingabeblatt 1'!$D$18,C138+1,"")</f>
        <v>2041</v>
      </c>
      <c r="D139" s="345">
        <f>IF(A139&lt;='Eingabeblatt 1'!$D$18,D138+1,"")</f>
        <v>23</v>
      </c>
      <c r="E139" s="354">
        <f>IF(A139&lt;='Eingabeblatt 1'!$D$18,IF(D139='Eingabeblatt 1'!$D$34,-'Eingabeblatt 1'!$L$34*(1+'Eingabeblatt 1'!$J$34)^D139,IF(D139='Eingabeblatt 1'!$D$35,-'Eingabeblatt 1'!$L$35*(1+'Eingabeblatt 1'!$J$35)^D139,IF(D139='Eingabeblatt 1'!$D$36,-'Eingabeblatt 1'!$L$36*(1+'Eingabeblatt 1'!$J$36)^D139,0))),"")</f>
        <v>0</v>
      </c>
      <c r="F139" s="354">
        <f t="shared" si="10"/>
        <v>-2001255.7063601352</v>
      </c>
      <c r="G139" s="347">
        <f>IF(A139&lt;='Eingabeblatt 1'!$D$18,IF(D139='Eingabeblatt 1'!$D$41,-('Eingabeblatt 1'!$L$40+'Eingabeblatt 1'!$L$41)*(1+'Eingabeblatt 1'!$J$40)^D139,-('Eingabeblatt 1'!$L$40)*(1+'Eingabeblatt 1'!$J$40)^D139),"")</f>
        <v>-551914.74246698897</v>
      </c>
      <c r="H139" s="347">
        <f>IF(A139&lt;='Eingabeblatt 1'!$D$18,H138*(1+'Eingabeblatt 1'!$J$42),"")</f>
        <v>-571032.74287443084</v>
      </c>
      <c r="I139" s="347">
        <f>IF(A139&lt;='Eingabeblatt 1'!$D$18,(-'Eingabeblatt 1'!$L$45*(1+'Eingabeblatt 1'!$J$45)^'Zusammenfassung Ergebnis'!D139)-('Eingabeblatt 1'!$L$46*(1+'Eingabeblatt 1'!$J$46)^'Zusammenfassung Ergebnis'!D139)-('Eingabeblatt 1'!$L$47*(1+'Eingabeblatt 1'!$J$47)^'Zusammenfassung Ergebnis'!D139),"")</f>
        <v>-269875.93873415748</v>
      </c>
      <c r="J139" s="347">
        <f>IF(A138&lt;='Eingabeblatt 1'!$D$18,'Eingabeblatt 1'!$D$51*(1+'Eingabeblatt 1'!$J$51)^'Zusammenfassung Ergebnis'!D139,"")</f>
        <v>0</v>
      </c>
      <c r="K139" s="348">
        <f t="shared" si="12"/>
        <v>0</v>
      </c>
      <c r="L139" s="348">
        <f>IF(D139&lt;='Eingabeblatt 1'!$D$18,(SUMIFS('Eingabeblatt 2'!$K$14:$K$53,'Eingabeblatt 2'!$E$14:$E$53,'Zusammenfassung Ergebnis'!D139))*(1+'Eingabeblatt 1'!$J$34)^'Zusammenfassung Ergebnis'!D139,"")</f>
        <v>0</v>
      </c>
      <c r="M139" s="349">
        <f>IF(A139&lt;='Eingabeblatt 1'!$D$18,SUM(G139:L139)+E139,"")</f>
        <v>-1392823.4240755774</v>
      </c>
      <c r="N139" s="350">
        <f>IF(A139&lt;='Eingabeblatt 1'!$D$18,(E139+G139+I139+H139+J139+K139+L139)/(1+'Eingabeblatt 1'!$D$19)^D139,"")</f>
        <v>-565105.1408094489</v>
      </c>
      <c r="O139" s="350">
        <f>IF(A139&lt;='Eingabeblatt 1'!$D$18,O138+N139,"")</f>
        <v>-72846406.341311976</v>
      </c>
      <c r="R139" s="351">
        <f>(((40-D139)/40*$Q$116))*('Eingabeblatt 1'!$D$20)+$Q$116/40</f>
        <v>96379.5</v>
      </c>
      <c r="S139" s="351"/>
      <c r="T139" s="351">
        <f>(((30-D139)/30*$S$116))*('Eingabeblatt 1'!$D$20)+$S$116/30</f>
        <v>0</v>
      </c>
      <c r="U139" s="351"/>
      <c r="V139" s="351">
        <f>(((20-D120)/20*$U$136))*('Eingabeblatt 1'!$D$20)+$U$136/20</f>
        <v>911448.80892201525</v>
      </c>
      <c r="W139" s="351"/>
      <c r="X139" s="351">
        <f>(((10-D120)/10*$W$136))*('Eingabeblatt 1'!$D$20)+$W$136/10</f>
        <v>993427.3974381201</v>
      </c>
      <c r="Y139" s="354">
        <f t="shared" si="11"/>
        <v>2001255.7063601352</v>
      </c>
      <c r="AG139" s="342"/>
      <c r="AH139" s="342"/>
      <c r="AI139" s="342"/>
      <c r="AJ139" s="342"/>
    </row>
    <row r="140" spans="1:36" s="341" customFormat="1" x14ac:dyDescent="0.3">
      <c r="A140" s="345">
        <v>24</v>
      </c>
      <c r="C140" s="346">
        <f>IF(A140&lt;='Eingabeblatt 1'!$D$18,C139+1,"")</f>
        <v>2042</v>
      </c>
      <c r="D140" s="345">
        <f>IF(A140&lt;='Eingabeblatt 1'!$D$18,D139+1,"")</f>
        <v>24</v>
      </c>
      <c r="E140" s="354">
        <f>IF(A140&lt;='Eingabeblatt 1'!$D$18,IF(D140='Eingabeblatt 1'!$D$34,-'Eingabeblatt 1'!$L$34*(1+'Eingabeblatt 1'!$J$34)^D140,IF(D140='Eingabeblatt 1'!$D$35,-'Eingabeblatt 1'!$L$35*(1+'Eingabeblatt 1'!$J$35)^D140,IF(D140='Eingabeblatt 1'!$D$36,-'Eingabeblatt 1'!$L$36*(1+'Eingabeblatt 1'!$J$36)^D140,0))),"")</f>
        <v>0</v>
      </c>
      <c r="F140" s="354">
        <f t="shared" si="10"/>
        <v>-1968267.6009676708</v>
      </c>
      <c r="G140" s="347">
        <f>IF(A140&lt;='Eingabeblatt 1'!$D$18,IF(D140='Eingabeblatt 1'!$D$41,-('Eingabeblatt 1'!$L$40+'Eingabeblatt 1'!$L$41)*(1+'Eingabeblatt 1'!$J$40)^D140,-('Eingabeblatt 1'!$L$40)*(1+'Eingabeblatt 1'!$J$40)^D140),"")</f>
        <v>-562953.03731632873</v>
      </c>
      <c r="H140" s="347">
        <f>IF(A140&lt;='Eingabeblatt 1'!$D$18,H139*(1+'Eingabeblatt 1'!$J$42),"")</f>
        <v>-583880.97958910547</v>
      </c>
      <c r="I140" s="347">
        <f>IF(A140&lt;='Eingabeblatt 1'!$D$18,(-'Eingabeblatt 1'!$L$45*(1+'Eingabeblatt 1'!$J$45)^'Zusammenfassung Ergebnis'!D140)-('Eingabeblatt 1'!$L$46*(1+'Eingabeblatt 1'!$J$46)^'Zusammenfassung Ergebnis'!D140)-('Eingabeblatt 1'!$L$47*(1+'Eingabeblatt 1'!$J$47)^'Zusammenfassung Ergebnis'!D140),"")</f>
        <v>-271838.39697980916</v>
      </c>
      <c r="J140" s="347">
        <f>IF(A139&lt;='Eingabeblatt 1'!$D$18,'Eingabeblatt 1'!$D$51*(1+'Eingabeblatt 1'!$J$51)^'Zusammenfassung Ergebnis'!D140,"")</f>
        <v>0</v>
      </c>
      <c r="K140" s="348">
        <f t="shared" si="12"/>
        <v>0</v>
      </c>
      <c r="L140" s="348">
        <f>IF(D140&lt;='Eingabeblatt 1'!$D$18,(SUMIFS('Eingabeblatt 2'!$K$14:$K$53,'Eingabeblatt 2'!$E$14:$E$53,'Zusammenfassung Ergebnis'!D140))*(1+'Eingabeblatt 1'!$J$34)^'Zusammenfassung Ergebnis'!D140,"")</f>
        <v>0</v>
      </c>
      <c r="M140" s="349">
        <f>IF(A140&lt;='Eingabeblatt 1'!$D$18,SUM(G140:L140)+E140,"")</f>
        <v>-1418672.4138852432</v>
      </c>
      <c r="N140" s="350">
        <f>IF(A140&lt;='Eingabeblatt 1'!$D$18,(E140+G140+I140+H140+J140+K140+L140)/(1+'Eingabeblatt 1'!$D$19)^D140,"")</f>
        <v>-553454.57371624606</v>
      </c>
      <c r="O140" s="350">
        <f>IF(A140&lt;='Eingabeblatt 1'!$D$18,O139+N140,"")</f>
        <v>-73399860.915028229</v>
      </c>
      <c r="R140" s="351">
        <f>(((40-D140)/40*$Q$116))*('Eingabeblatt 1'!$D$20)+$Q$116/40</f>
        <v>94941</v>
      </c>
      <c r="S140" s="351"/>
      <c r="T140" s="351">
        <f>(((30-D140)/30*$S$116))*('Eingabeblatt 1'!$D$20)+$S$116/30</f>
        <v>0</v>
      </c>
      <c r="U140" s="351"/>
      <c r="V140" s="351">
        <f>(((20-D121)/20*$U$136))*('Eingabeblatt 1'!$D$20)+$U$136/20</f>
        <v>897638.97848380287</v>
      </c>
      <c r="W140" s="351"/>
      <c r="X140" s="351">
        <f>(((10-D121)/10*$W$136))*('Eingabeblatt 1'!$D$20)+$W$136/10</f>
        <v>975687.62248386804</v>
      </c>
      <c r="Y140" s="354">
        <f t="shared" si="11"/>
        <v>1968267.6009676708</v>
      </c>
      <c r="AG140" s="342"/>
      <c r="AH140" s="342"/>
      <c r="AI140" s="342"/>
      <c r="AJ140" s="342"/>
    </row>
    <row r="141" spans="1:36" s="341" customFormat="1" x14ac:dyDescent="0.3">
      <c r="A141" s="345">
        <v>25</v>
      </c>
      <c r="C141" s="346">
        <f>IF(A141&lt;='Eingabeblatt 1'!$D$18,C140+1,"")</f>
        <v>2043</v>
      </c>
      <c r="D141" s="345">
        <f>IF(A141&lt;='Eingabeblatt 1'!$D$18,D140+1,"")</f>
        <v>25</v>
      </c>
      <c r="E141" s="354">
        <f>IF(A141&lt;='Eingabeblatt 1'!$D$18,IF(D141='Eingabeblatt 1'!$D$34,-'Eingabeblatt 1'!$L$34*(1+'Eingabeblatt 1'!$J$34)^D141,IF(D141='Eingabeblatt 1'!$D$35,-'Eingabeblatt 1'!$L$35*(1+'Eingabeblatt 1'!$J$35)^D141,IF(D141='Eingabeblatt 1'!$D$36,-'Eingabeblatt 1'!$L$36*(1+'Eingabeblatt 1'!$J$36)^D141,0))),"")</f>
        <v>0</v>
      </c>
      <c r="F141" s="354">
        <f t="shared" si="10"/>
        <v>-1935279.4955752064</v>
      </c>
      <c r="G141" s="347">
        <f>IF(A141&lt;='Eingabeblatt 1'!$D$18,IF(D141='Eingabeblatt 1'!$D$41,-('Eingabeblatt 1'!$L$40+'Eingabeblatt 1'!$L$41)*(1+'Eingabeblatt 1'!$J$40)^D141,-('Eingabeblatt 1'!$L$40)*(1+'Eingabeblatt 1'!$J$40)^D141),"")</f>
        <v>-574212.09806265531</v>
      </c>
      <c r="H141" s="347">
        <f>IF(A141&lt;='Eingabeblatt 1'!$D$18,H140*(1+'Eingabeblatt 1'!$J$42),"")</f>
        <v>-597018.3016298603</v>
      </c>
      <c r="I141" s="347">
        <f>IF(A141&lt;='Eingabeblatt 1'!$D$18,(-'Eingabeblatt 1'!$L$45*(1+'Eingabeblatt 1'!$J$45)^'Zusammenfassung Ergebnis'!D141)-('Eingabeblatt 1'!$L$46*(1+'Eingabeblatt 1'!$J$46)^'Zusammenfassung Ergebnis'!D141)-('Eingabeblatt 1'!$L$47*(1+'Eingabeblatt 1'!$J$47)^'Zusammenfassung Ergebnis'!D141),"")</f>
        <v>-273816.79830220889</v>
      </c>
      <c r="J141" s="347">
        <f>IF(A140&lt;='Eingabeblatt 1'!$D$18,'Eingabeblatt 1'!$D$51*(1+'Eingabeblatt 1'!$J$51)^'Zusammenfassung Ergebnis'!D141,"")</f>
        <v>0</v>
      </c>
      <c r="K141" s="348">
        <f t="shared" si="12"/>
        <v>0</v>
      </c>
      <c r="L141" s="348">
        <f>IF(D141&lt;='Eingabeblatt 1'!$D$18,(SUMIFS('Eingabeblatt 2'!$K$14:$K$53,'Eingabeblatt 2'!$E$14:$E$53,'Zusammenfassung Ergebnis'!D141))*(1+'Eingabeblatt 1'!$J$34)^'Zusammenfassung Ergebnis'!D141,"")</f>
        <v>0</v>
      </c>
      <c r="M141" s="349">
        <f>IF(A141&lt;='Eingabeblatt 1'!$D$18,SUM(G141:L141)+E141,"")</f>
        <v>-1445047.1979947244</v>
      </c>
      <c r="N141" s="350">
        <f>IF(A141&lt;='Eingabeblatt 1'!$D$18,(E141+G141+I141+H141+J141+K141+L141)/(1+'Eingabeblatt 1'!$D$19)^D141,"")</f>
        <v>-542061.48401783151</v>
      </c>
      <c r="O141" s="350">
        <f>IF(A141&lt;='Eingabeblatt 1'!$D$18,O140+N141,"")</f>
        <v>-73941922.399046063</v>
      </c>
      <c r="R141" s="351">
        <f>(((40-D141)/40*$Q$116))*('Eingabeblatt 1'!$D$20)+$Q$116/40</f>
        <v>93502.5</v>
      </c>
      <c r="S141" s="351"/>
      <c r="T141" s="351">
        <f>(((30-D141)/30*$S$116))*('Eingabeblatt 1'!$D$20)+$S$116/30</f>
        <v>0</v>
      </c>
      <c r="U141" s="351"/>
      <c r="V141" s="351">
        <f>(((20-D122)/20*$U$136))*('Eingabeblatt 1'!$D$20)+$U$136/20</f>
        <v>883829.1480455905</v>
      </c>
      <c r="W141" s="351"/>
      <c r="X141" s="351">
        <f>(((10-D122)/10*$W$136))*('Eingabeblatt 1'!$D$20)+$W$136/10</f>
        <v>957947.84752961586</v>
      </c>
      <c r="Y141" s="354">
        <f t="shared" si="11"/>
        <v>1935279.4955752064</v>
      </c>
      <c r="AG141" s="342"/>
      <c r="AH141" s="342"/>
      <c r="AI141" s="342"/>
      <c r="AJ141" s="342"/>
    </row>
    <row r="142" spans="1:36" s="341" customFormat="1" x14ac:dyDescent="0.3">
      <c r="A142" s="345">
        <v>26</v>
      </c>
      <c r="C142" s="346">
        <f>IF(A142&lt;='Eingabeblatt 1'!$D$18,C141+1,"")</f>
        <v>2044</v>
      </c>
      <c r="D142" s="345">
        <f>IF(A142&lt;='Eingabeblatt 1'!$D$18,D141+1,"")</f>
        <v>26</v>
      </c>
      <c r="E142" s="354">
        <f>IF(A142&lt;='Eingabeblatt 1'!$D$18,IF(D142='Eingabeblatt 1'!$D$34,-'Eingabeblatt 1'!$L$34*(1+'Eingabeblatt 1'!$J$34)^D142,IF(D142='Eingabeblatt 1'!$D$35,-'Eingabeblatt 1'!$L$35*(1+'Eingabeblatt 1'!$J$35)^D142,IF(D142='Eingabeblatt 1'!$D$36,-'Eingabeblatt 1'!$L$36*(1+'Eingabeblatt 1'!$J$36)^D142,0))),"")</f>
        <v>0</v>
      </c>
      <c r="F142" s="354">
        <f t="shared" si="10"/>
        <v>-1902291.3901827419</v>
      </c>
      <c r="G142" s="347">
        <f>IF(A142&lt;='Eingabeblatt 1'!$D$18,IF(D142='Eingabeblatt 1'!$D$41,-('Eingabeblatt 1'!$L$40+'Eingabeblatt 1'!$L$41)*(1+'Eingabeblatt 1'!$J$40)^D142,-('Eingabeblatt 1'!$L$40)*(1+'Eingabeblatt 1'!$J$40)^D142),"")</f>
        <v>-585696.34002390853</v>
      </c>
      <c r="H142" s="347">
        <f>IF(A142&lt;='Eingabeblatt 1'!$D$18,H141*(1+'Eingabeblatt 1'!$J$42),"")</f>
        <v>-610451.21341653215</v>
      </c>
      <c r="I142" s="347">
        <f>IF(A142&lt;='Eingabeblatt 1'!$D$18,(-'Eingabeblatt 1'!$L$45*(1+'Eingabeblatt 1'!$J$45)^'Zusammenfassung Ergebnis'!D142)-('Eingabeblatt 1'!$L$46*(1+'Eingabeblatt 1'!$J$46)^'Zusammenfassung Ergebnis'!D142)-('Eingabeblatt 1'!$L$47*(1+'Eingabeblatt 1'!$J$47)^'Zusammenfassung Ergebnis'!D142),"")</f>
        <v>-275811.28372459556</v>
      </c>
      <c r="J142" s="347">
        <f>IF(A141&lt;='Eingabeblatt 1'!$D$18,'Eingabeblatt 1'!$D$51*(1+'Eingabeblatt 1'!$J$51)^'Zusammenfassung Ergebnis'!D142,"")</f>
        <v>0</v>
      </c>
      <c r="K142" s="348">
        <f t="shared" si="12"/>
        <v>0</v>
      </c>
      <c r="L142" s="348">
        <f>IF(D142&lt;='Eingabeblatt 1'!$D$18,(SUMIFS('Eingabeblatt 2'!$K$14:$K$53,'Eingabeblatt 2'!$E$14:$E$53,'Zusammenfassung Ergebnis'!D142))*(1+'Eingabeblatt 1'!$J$34)^'Zusammenfassung Ergebnis'!D142,"")</f>
        <v>0</v>
      </c>
      <c r="M142" s="349">
        <f>IF(A142&lt;='Eingabeblatt 1'!$D$18,SUM(G142:L142)+E142,"")</f>
        <v>-1471958.8371650362</v>
      </c>
      <c r="N142" s="350">
        <f>IF(A142&lt;='Eingabeblatt 1'!$D$18,(E142+G142+I142+H142+J142+K142+L142)/(1+'Eingabeblatt 1'!$D$19)^D142,"")</f>
        <v>-530919.70389116486</v>
      </c>
      <c r="O142" s="350">
        <f>IF(A142&lt;='Eingabeblatt 1'!$D$18,O141+N142,"")</f>
        <v>-74472842.102937222</v>
      </c>
      <c r="R142" s="351">
        <f>(((40-D142)/40*$Q$116))*('Eingabeblatt 1'!$D$20)+$Q$116/40</f>
        <v>92064</v>
      </c>
      <c r="S142" s="351"/>
      <c r="T142" s="351">
        <f>(((30-D142)/30*$S$116))*('Eingabeblatt 1'!$D$20)+$S$116/30</f>
        <v>0</v>
      </c>
      <c r="U142" s="351"/>
      <c r="V142" s="351">
        <f>(((20-D123)/20*$U$136))*('Eingabeblatt 1'!$D$20)+$U$136/20</f>
        <v>870019.31760737812</v>
      </c>
      <c r="W142" s="351"/>
      <c r="X142" s="351">
        <f>(((10-D123)/10*$W$136))*('Eingabeblatt 1'!$D$20)+$W$136/10</f>
        <v>940208.07257536368</v>
      </c>
      <c r="Y142" s="354">
        <f t="shared" si="11"/>
        <v>1902291.3901827419</v>
      </c>
      <c r="AG142" s="342"/>
      <c r="AH142" s="342"/>
      <c r="AI142" s="342"/>
      <c r="AJ142" s="342"/>
    </row>
    <row r="143" spans="1:36" s="341" customFormat="1" x14ac:dyDescent="0.3">
      <c r="A143" s="345">
        <v>27</v>
      </c>
      <c r="C143" s="346">
        <f>IF(A143&lt;='Eingabeblatt 1'!$D$18,C142+1,"")</f>
        <v>2045</v>
      </c>
      <c r="D143" s="345">
        <f>IF(A143&lt;='Eingabeblatt 1'!$D$18,D142+1,"")</f>
        <v>27</v>
      </c>
      <c r="E143" s="354">
        <f>IF(A143&lt;='Eingabeblatt 1'!$D$18,IF(D143='Eingabeblatt 1'!$D$34,-'Eingabeblatt 1'!$L$34*(1+'Eingabeblatt 1'!$J$34)^D143,IF(D143='Eingabeblatt 1'!$D$35,-'Eingabeblatt 1'!$L$35*(1+'Eingabeblatt 1'!$J$35)^D143,IF(D143='Eingabeblatt 1'!$D$36,-'Eingabeblatt 1'!$L$36*(1+'Eingabeblatt 1'!$J$36)^D143,0))),"")</f>
        <v>0</v>
      </c>
      <c r="F143" s="354">
        <f t="shared" si="10"/>
        <v>-1869303.2847902775</v>
      </c>
      <c r="G143" s="347">
        <f>IF(A143&lt;='Eingabeblatt 1'!$D$18,IF(D143='Eingabeblatt 1'!$D$41,-('Eingabeblatt 1'!$L$40+'Eingabeblatt 1'!$L$41)*(1+'Eingabeblatt 1'!$J$40)^D143,-('Eingabeblatt 1'!$L$40)*(1+'Eingabeblatt 1'!$J$40)^D143),"")</f>
        <v>-597410.26682438655</v>
      </c>
      <c r="H143" s="347">
        <f>IF(A143&lt;='Eingabeblatt 1'!$D$18,H142*(1+'Eingabeblatt 1'!$J$42),"")</f>
        <v>-624186.36571840406</v>
      </c>
      <c r="I143" s="347">
        <f>IF(A143&lt;='Eingabeblatt 1'!$D$18,(-'Eingabeblatt 1'!$L$45*(1+'Eingabeblatt 1'!$J$45)^'Zusammenfassung Ergebnis'!D143)-('Eingabeblatt 1'!$L$46*(1+'Eingabeblatt 1'!$J$46)^'Zusammenfassung Ergebnis'!D143)-('Eingabeblatt 1'!$L$47*(1+'Eingabeblatt 1'!$J$47)^'Zusammenfassung Ergebnis'!D143),"")</f>
        <v>-277821.9955884029</v>
      </c>
      <c r="J143" s="347">
        <f>IF(A142&lt;='Eingabeblatt 1'!$D$18,'Eingabeblatt 1'!$D$51*(1+'Eingabeblatt 1'!$J$51)^'Zusammenfassung Ergebnis'!D143,"")</f>
        <v>0</v>
      </c>
      <c r="K143" s="348">
        <f t="shared" si="12"/>
        <v>0</v>
      </c>
      <c r="L143" s="348">
        <f>IF(D143&lt;='Eingabeblatt 1'!$D$18,(SUMIFS('Eingabeblatt 2'!$K$14:$K$53,'Eingabeblatt 2'!$E$14:$E$53,'Zusammenfassung Ergebnis'!D143))*(1+'Eingabeblatt 1'!$J$34)^'Zusammenfassung Ergebnis'!D143,"")</f>
        <v>0</v>
      </c>
      <c r="M143" s="349">
        <f>IF(A143&lt;='Eingabeblatt 1'!$D$18,SUM(G143:L143)+E143,"")</f>
        <v>-1499418.6281311936</v>
      </c>
      <c r="N143" s="350">
        <f>IF(A143&lt;='Eingabeblatt 1'!$D$18,(E143+G143+I143+H143+J143+K143+L143)/(1+'Eingabeblatt 1'!$D$19)^D143,"")</f>
        <v>-520023.22579937003</v>
      </c>
      <c r="O143" s="350">
        <f>IF(A143&lt;='Eingabeblatt 1'!$D$18,O142+N143,"")</f>
        <v>-74992865.328736588</v>
      </c>
      <c r="R143" s="351">
        <f>(((40-D143)/40*$Q$116))*('Eingabeblatt 1'!$D$20)+$Q$116/40</f>
        <v>90625.5</v>
      </c>
      <c r="S143" s="351"/>
      <c r="T143" s="351">
        <f>(((30-D143)/30*$S$116))*('Eingabeblatt 1'!$D$20)+$S$116/30</f>
        <v>0</v>
      </c>
      <c r="U143" s="351"/>
      <c r="V143" s="351">
        <f>(((20-D124)/20*$U$136))*('Eingabeblatt 1'!$D$20)+$U$136/20</f>
        <v>856209.48716916586</v>
      </c>
      <c r="W143" s="351"/>
      <c r="X143" s="351">
        <f>(((10-D124)/10*$W$136))*('Eingabeblatt 1'!$D$20)+$W$136/10</f>
        <v>922468.29762111162</v>
      </c>
      <c r="Y143" s="354">
        <f t="shared" si="11"/>
        <v>1869303.2847902775</v>
      </c>
      <c r="AG143" s="342"/>
      <c r="AH143" s="342"/>
      <c r="AI143" s="342"/>
      <c r="AJ143" s="342"/>
    </row>
    <row r="144" spans="1:36" s="341" customFormat="1" x14ac:dyDescent="0.3">
      <c r="A144" s="345">
        <v>28</v>
      </c>
      <c r="C144" s="346">
        <f>IF(A144&lt;='Eingabeblatt 1'!$D$18,C143+1,"")</f>
        <v>2046</v>
      </c>
      <c r="D144" s="345">
        <f>IF(A144&lt;='Eingabeblatt 1'!$D$18,D143+1,"")</f>
        <v>28</v>
      </c>
      <c r="E144" s="354">
        <f>IF(A144&lt;='Eingabeblatt 1'!$D$18,IF(D144='Eingabeblatt 1'!$D$34,-'Eingabeblatt 1'!$L$34*(1+'Eingabeblatt 1'!$J$34)^D144,IF(D144='Eingabeblatt 1'!$D$35,-'Eingabeblatt 1'!$L$35*(1+'Eingabeblatt 1'!$J$35)^D144,IF(D144='Eingabeblatt 1'!$D$36,-'Eingabeblatt 1'!$L$36*(1+'Eingabeblatt 1'!$J$36)^D144,0))),"")</f>
        <v>0</v>
      </c>
      <c r="F144" s="354">
        <f t="shared" si="10"/>
        <v>-1836315.179397813</v>
      </c>
      <c r="G144" s="347">
        <f>IF(A144&lt;='Eingabeblatt 1'!$D$18,IF(D144='Eingabeblatt 1'!$D$41,-('Eingabeblatt 1'!$L$40+'Eingabeblatt 1'!$L$41)*(1+'Eingabeblatt 1'!$J$40)^D144,-('Eingabeblatt 1'!$L$40)*(1+'Eingabeblatt 1'!$J$40)^D144),"")</f>
        <v>-609358.4721608744</v>
      </c>
      <c r="H144" s="347">
        <f>IF(A144&lt;='Eingabeblatt 1'!$D$18,H143*(1+'Eingabeblatt 1'!$J$42),"")</f>
        <v>-638230.55894706817</v>
      </c>
      <c r="I144" s="347">
        <f>IF(A144&lt;='Eingabeblatt 1'!$D$18,(-'Eingabeblatt 1'!$L$45*(1+'Eingabeblatt 1'!$J$45)^'Zusammenfassung Ergebnis'!D144)-('Eingabeblatt 1'!$L$46*(1+'Eingabeblatt 1'!$J$46)^'Zusammenfassung Ergebnis'!D144)-('Eingabeblatt 1'!$L$47*(1+'Eingabeblatt 1'!$J$47)^'Zusammenfassung Ergebnis'!D144),"")</f>
        <v>-279849.07756598113</v>
      </c>
      <c r="J144" s="347">
        <f>IF(A143&lt;='Eingabeblatt 1'!$D$18,'Eingabeblatt 1'!$D$51*(1+'Eingabeblatt 1'!$J$51)^'Zusammenfassung Ergebnis'!D144,"")</f>
        <v>0</v>
      </c>
      <c r="K144" s="348">
        <f t="shared" si="12"/>
        <v>0</v>
      </c>
      <c r="L144" s="348">
        <f>IF(D144&lt;='Eingabeblatt 1'!$D$18,(SUMIFS('Eingabeblatt 2'!$K$14:$K$53,'Eingabeblatt 2'!$E$14:$E$53,'Zusammenfassung Ergebnis'!D144))*(1+'Eingabeblatt 1'!$J$34)^'Zusammenfassung Ergebnis'!D144,"")</f>
        <v>0</v>
      </c>
      <c r="M144" s="349">
        <f>IF(A144&lt;='Eingabeblatt 1'!$D$18,SUM(G144:L144)+E144,"")</f>
        <v>-1527438.1086739236</v>
      </c>
      <c r="N144" s="350">
        <f>IF(A144&lt;='Eingabeblatt 1'!$D$18,(E144+G144+I144+H144+J144+K144+L144)/(1+'Eingabeblatt 1'!$D$19)^D144,"")</f>
        <v>-509366.19801736437</v>
      </c>
      <c r="O144" s="350">
        <f>IF(A144&lt;='Eingabeblatt 1'!$D$18,O143+N144,"")</f>
        <v>-75502231.526753947</v>
      </c>
      <c r="R144" s="351">
        <f>(((40-D144)/40*$Q$116))*('Eingabeblatt 1'!$D$20)+$Q$116/40</f>
        <v>89187</v>
      </c>
      <c r="S144" s="351"/>
      <c r="T144" s="351">
        <f>(((30-D144)/30*$S$116))*('Eingabeblatt 1'!$D$20)+$S$116/30</f>
        <v>0</v>
      </c>
      <c r="U144" s="351"/>
      <c r="V144" s="351">
        <f>(((20-D125)/20*$U$136))*('Eingabeblatt 1'!$D$20)+$U$136/20</f>
        <v>842399.65673095349</v>
      </c>
      <c r="W144" s="351"/>
      <c r="X144" s="351">
        <f>(((10-D125)/10*$W$136))*('Eingabeblatt 1'!$D$20)+$W$136/10</f>
        <v>904728.52266685944</v>
      </c>
      <c r="Y144" s="354">
        <f t="shared" si="11"/>
        <v>1836315.179397813</v>
      </c>
      <c r="AG144" s="342"/>
      <c r="AH144" s="342"/>
      <c r="AI144" s="342"/>
      <c r="AJ144" s="342"/>
    </row>
    <row r="145" spans="1:36" s="341" customFormat="1" x14ac:dyDescent="0.3">
      <c r="A145" s="345">
        <v>29</v>
      </c>
      <c r="C145" s="346">
        <f>IF(A145&lt;='Eingabeblatt 1'!$D$18,C144+1,"")</f>
        <v>2047</v>
      </c>
      <c r="D145" s="345">
        <f>IF(A145&lt;='Eingabeblatt 1'!$D$18,D144+1,"")</f>
        <v>29</v>
      </c>
      <c r="E145" s="354">
        <f>IF(A145&lt;='Eingabeblatt 1'!$D$18,IF(D145='Eingabeblatt 1'!$D$34,-'Eingabeblatt 1'!$L$34*(1+'Eingabeblatt 1'!$J$34)^D145,IF(D145='Eingabeblatt 1'!$D$35,-'Eingabeblatt 1'!$L$35*(1+'Eingabeblatt 1'!$J$35)^D145,IF(D145='Eingabeblatt 1'!$D$36,-'Eingabeblatt 1'!$L$36*(1+'Eingabeblatt 1'!$J$36)^D145,0))),"")</f>
        <v>0</v>
      </c>
      <c r="F145" s="354">
        <f t="shared" si="10"/>
        <v>-1803327.0740053484</v>
      </c>
      <c r="G145" s="347">
        <f>IF(A145&lt;='Eingabeblatt 1'!$D$18,IF(D145='Eingabeblatt 1'!$D$41,-('Eingabeblatt 1'!$L$40+'Eingabeblatt 1'!$L$41)*(1+'Eingabeblatt 1'!$J$40)^D145,-('Eingabeblatt 1'!$L$40)*(1+'Eingabeblatt 1'!$J$40)^D145),"")</f>
        <v>-621545.64160409186</v>
      </c>
      <c r="H145" s="347">
        <f>IF(A145&lt;='Eingabeblatt 1'!$D$18,H144*(1+'Eingabeblatt 1'!$J$42),"")</f>
        <v>-652590.74652337714</v>
      </c>
      <c r="I145" s="347">
        <f>IF(A145&lt;='Eingabeblatt 1'!$D$18,(-'Eingabeblatt 1'!$L$45*(1+'Eingabeblatt 1'!$J$45)^'Zusammenfassung Ergebnis'!D145)-('Eingabeblatt 1'!$L$46*(1+'Eingabeblatt 1'!$J$46)^'Zusammenfassung Ergebnis'!D145)-('Eingabeblatt 1'!$L$47*(1+'Eingabeblatt 1'!$J$47)^'Zusammenfassung Ergebnis'!D145),"")</f>
        <v>-281892.67467344366</v>
      </c>
      <c r="J145" s="347">
        <f>IF(A144&lt;='Eingabeblatt 1'!$D$18,'Eingabeblatt 1'!$D$51*(1+'Eingabeblatt 1'!$J$51)^'Zusammenfassung Ergebnis'!D145,"")</f>
        <v>0</v>
      </c>
      <c r="K145" s="348">
        <f t="shared" si="12"/>
        <v>0</v>
      </c>
      <c r="L145" s="348">
        <f>IF(D145&lt;='Eingabeblatt 1'!$D$18,(SUMIFS('Eingabeblatt 2'!$K$14:$K$53,'Eingabeblatt 2'!$E$14:$E$53,'Zusammenfassung Ergebnis'!D145))*(1+'Eingabeblatt 1'!$J$34)^'Zusammenfassung Ergebnis'!D145,"")</f>
        <v>0</v>
      </c>
      <c r="M145" s="349">
        <f>IF(A145&lt;='Eingabeblatt 1'!$D$18,SUM(G145:L145)+E145,"")</f>
        <v>-1556029.0628009127</v>
      </c>
      <c r="N145" s="350">
        <f>IF(A145&lt;='Eingabeblatt 1'!$D$18,(E145+G145+I145+H145+J145+K145+L145)/(1+'Eingabeblatt 1'!$D$19)^D145,"")</f>
        <v>-498942.92028953519</v>
      </c>
      <c r="O145" s="350">
        <f>IF(A145&lt;='Eingabeblatt 1'!$D$18,O144+N145,"")</f>
        <v>-76001174.447043478</v>
      </c>
      <c r="R145" s="351">
        <f>(((40-D145)/40*$Q$116))*('Eingabeblatt 1'!$D$20)+$Q$116/40</f>
        <v>87748.5</v>
      </c>
      <c r="S145" s="351"/>
      <c r="T145" s="351">
        <f>(((30-D145)/30*$S$116))*('Eingabeblatt 1'!$D$20)+$S$116/30</f>
        <v>0</v>
      </c>
      <c r="U145" s="351"/>
      <c r="V145" s="351">
        <f>(((20-D126)/20*$U$136))*('Eingabeblatt 1'!$D$20)+$U$136/20</f>
        <v>828589.82629274111</v>
      </c>
      <c r="W145" s="351"/>
      <c r="X145" s="351">
        <f>(((10-D126)/10*$W$136))*('Eingabeblatt 1'!$D$20)+$W$136/10</f>
        <v>886988.74771260726</v>
      </c>
      <c r="Y145" s="354">
        <f t="shared" si="11"/>
        <v>1803327.0740053484</v>
      </c>
      <c r="AG145" s="342"/>
      <c r="AH145" s="342"/>
      <c r="AI145" s="342"/>
      <c r="AJ145" s="342"/>
    </row>
    <row r="146" spans="1:36" s="341" customFormat="1" x14ac:dyDescent="0.3">
      <c r="A146" s="345">
        <v>30</v>
      </c>
      <c r="C146" s="346">
        <f>IF(A146&lt;='Eingabeblatt 1'!$D$18,C145+1,"")</f>
        <v>2048</v>
      </c>
      <c r="D146" s="345">
        <f>IF(A146&lt;='Eingabeblatt 1'!$D$18,D145+1,"")</f>
        <v>30</v>
      </c>
      <c r="E146" s="354">
        <f>IF(A146&lt;='Eingabeblatt 1'!$D$18,IF(D146='Eingabeblatt 1'!$D$34,-'Eingabeblatt 1'!$L$34*(1+'Eingabeblatt 1'!$J$34)^D146,IF(D146='Eingabeblatt 1'!$D$35,-'Eingabeblatt 1'!$L$35*(1+'Eingabeblatt 1'!$J$35)^D146,IF(D146='Eingabeblatt 1'!$D$36,-'Eingabeblatt 1'!$L$36*(1+'Eingabeblatt 1'!$J$36)^D146,0))),"")</f>
        <v>-18270697.776942592</v>
      </c>
      <c r="F146" s="354">
        <f t="shared" si="10"/>
        <v>-2176946.5100450995</v>
      </c>
      <c r="G146" s="347">
        <f>IF(A146&lt;='Eingabeblatt 1'!$D$18,IF(D146='Eingabeblatt 1'!$D$41,-('Eingabeblatt 1'!$L$40+'Eingabeblatt 1'!$L$41)*(1+'Eingabeblatt 1'!$J$40)^D146,-('Eingabeblatt 1'!$L$40)*(1+'Eingabeblatt 1'!$J$40)^D146),"")</f>
        <v>-633976.55443617376</v>
      </c>
      <c r="H146" s="347">
        <f>IF(A146&lt;='Eingabeblatt 1'!$D$18,H145*(1+'Eingabeblatt 1'!$J$42),"")</f>
        <v>-667274.03832015314</v>
      </c>
      <c r="I146" s="347">
        <f>IF(A146&lt;='Eingabeblatt 1'!$D$18,(-'Eingabeblatt 1'!$L$45*(1+'Eingabeblatt 1'!$J$45)^'Zusammenfassung Ergebnis'!D146)-('Eingabeblatt 1'!$L$46*(1+'Eingabeblatt 1'!$J$46)^'Zusammenfassung Ergebnis'!D146)-('Eingabeblatt 1'!$L$47*(1+'Eingabeblatt 1'!$J$47)^'Zusammenfassung Ergebnis'!D146),"")</f>
        <v>-283952.93328363984</v>
      </c>
      <c r="J146" s="347">
        <f>IF(A145&lt;='Eingabeblatt 1'!$D$18,'Eingabeblatt 1'!$D$51*(1+'Eingabeblatt 1'!$J$51)^'Zusammenfassung Ergebnis'!D146,"")</f>
        <v>0</v>
      </c>
      <c r="K146" s="348">
        <f t="shared" si="12"/>
        <v>0</v>
      </c>
      <c r="L146" s="348">
        <f>IF(D146&lt;='Eingabeblatt 1'!$D$18,(SUMIFS('Eingabeblatt 2'!$K$14:$K$53,'Eingabeblatt 2'!$E$14:$E$53,'Zusammenfassung Ergebnis'!D146)+SUMIFS('Eingabeblatt 2'!$K$14:$K$53,'Eingabeblatt 2'!$E$14:$E$53,'Zusammenfassung Ergebnis'!D126))*(1+'Eingabeblatt 1'!$J$34)^'Zusammenfassung Ergebnis'!D146,"")</f>
        <v>192518.392332524</v>
      </c>
      <c r="M146" s="349">
        <f>IF(A146&lt;='Eingabeblatt 1'!$D$18,SUM(G146:L146)+E146,"")</f>
        <v>-19663382.910650034</v>
      </c>
      <c r="N146" s="350">
        <f>IF(A146&lt;='Eingabeblatt 1'!$D$18,(E146+G146+I146+H146+J146+K146+L146)/(1+'Eingabeblatt 1'!$D$19)^D146,"")</f>
        <v>-6062588.0268629352</v>
      </c>
      <c r="O146" s="350">
        <f>IF(A146&lt;='Eingabeblatt 1'!$D$18,O145+N146,"")</f>
        <v>-82063762.473906413</v>
      </c>
      <c r="R146" s="351">
        <f>(((40-D146)/40*$Q$116))*('Eingabeblatt 1'!$D$20)+$Q$116/40</f>
        <v>86310</v>
      </c>
      <c r="S146" s="351">
        <f>SUMIFS('Eingabeblatt 2'!I14:I37,'Eingabeblatt 2'!E14:E37,30)*(1+'Eingabeblatt 1'!J80)^'Zusammenfassung Ergebnis'!D146</f>
        <v>0</v>
      </c>
      <c r="T146" s="351">
        <f>(((30-D117)/30*$S$146))*('Eingabeblatt 1'!$D$20)+$S$146/30</f>
        <v>0</v>
      </c>
      <c r="U146" s="351"/>
      <c r="V146" s="351">
        <f>(((20-D127)/20*$U$136))*('Eingabeblatt 1'!$D$20)+$U$136/20</f>
        <v>814779.99585452874</v>
      </c>
      <c r="W146" s="351">
        <f>(SUMIFS('Eingabeblatt 2'!I14:I37,'Eingabeblatt 2'!E14:E37,10))*(1+'Eingabeblatt 1'!J67)^'Zusammenfassung Ergebnis'!D146</f>
        <v>10812343.340598056</v>
      </c>
      <c r="X146" s="354">
        <f>(((10-D117)/10*$W$146))*('Eingabeblatt 1'!$D$20)+$W$146/10</f>
        <v>1275856.5141905707</v>
      </c>
      <c r="Y146" s="354">
        <f t="shared" si="11"/>
        <v>2176946.5100450995</v>
      </c>
      <c r="AG146" s="342"/>
      <c r="AH146" s="342"/>
      <c r="AI146" s="342"/>
      <c r="AJ146" s="342"/>
    </row>
    <row r="147" spans="1:36" s="341" customFormat="1" x14ac:dyDescent="0.3">
      <c r="A147" s="345">
        <v>31</v>
      </c>
      <c r="C147" s="346">
        <f>IF(A147&lt;='Eingabeblatt 1'!$D$18,C146+1,"")</f>
        <v>2049</v>
      </c>
      <c r="D147" s="345">
        <f>IF(A147&lt;='Eingabeblatt 1'!$D$18,D146+1,"")</f>
        <v>31</v>
      </c>
      <c r="E147" s="354">
        <f>IF(A147&lt;='Eingabeblatt 1'!$D$18,IF(D147='Eingabeblatt 1'!$D$34,-'Eingabeblatt 1'!$L$34*(1+'Eingabeblatt 1'!$J$34)^D147,IF(D147='Eingabeblatt 1'!$D$35,-'Eingabeblatt 1'!$L$35*(1+'Eingabeblatt 1'!$J$35)^D147,IF(D147='Eingabeblatt 1'!$D$36,-'Eingabeblatt 1'!$L$36*(1+'Eingabeblatt 1'!$J$36)^D147,0))),"")</f>
        <v>0</v>
      </c>
      <c r="F147" s="354">
        <f t="shared" si="10"/>
        <v>-2140073.492925691</v>
      </c>
      <c r="G147" s="347">
        <f>IF(A147&lt;='Eingabeblatt 1'!$D$18,IF(D147='Eingabeblatt 1'!$D$41,-('Eingabeblatt 1'!$L$40+'Eingabeblatt 1'!$L$41)*(1+'Eingabeblatt 1'!$J$40)^D147,-('Eingabeblatt 1'!$L$40)*(1+'Eingabeblatt 1'!$J$40)^D147),"")</f>
        <v>-646656.08552489709</v>
      </c>
      <c r="H147" s="347">
        <f>IF(A147&lt;='Eingabeblatt 1'!$D$18,H146*(1+'Eingabeblatt 1'!$J$42),"")</f>
        <v>-682287.7041823566</v>
      </c>
      <c r="I147" s="347">
        <f>IF(A147&lt;='Eingabeblatt 1'!$D$18,(-'Eingabeblatt 1'!$L$45*(1+'Eingabeblatt 1'!$J$45)^'Zusammenfassung Ergebnis'!D147)-('Eingabeblatt 1'!$L$46*(1+'Eingabeblatt 1'!$J$46)^'Zusammenfassung Ergebnis'!D147)-('Eingabeblatt 1'!$L$47*(1+'Eingabeblatt 1'!$J$47)^'Zusammenfassung Ergebnis'!D147),"")</f>
        <v>-286030.00113925518</v>
      </c>
      <c r="J147" s="347">
        <f>IF(A146&lt;='Eingabeblatt 1'!$D$18,'Eingabeblatt 1'!$D$51*(1+'Eingabeblatt 1'!$J$51)^'Zusammenfassung Ergebnis'!D147,"")</f>
        <v>0</v>
      </c>
      <c r="K147" s="348">
        <f t="shared" si="12"/>
        <v>0</v>
      </c>
      <c r="L147" s="348">
        <f>IF(D147&lt;='Eingabeblatt 1'!$D$18,(SUMIFS('Eingabeblatt 2'!$K$14:$K$53,'Eingabeblatt 2'!$E$14:$E$53,'Zusammenfassung Ergebnis'!D147))*(1+'Eingabeblatt 1'!$J$34)^'Zusammenfassung Ergebnis'!D147,"")</f>
        <v>0</v>
      </c>
      <c r="M147" s="349">
        <f>IF(A147&lt;='Eingabeblatt 1'!$D$18,SUM(G147:L147)+E147,"")</f>
        <v>-1614973.7908465089</v>
      </c>
      <c r="N147" s="350">
        <f>IF(A147&lt;='Eingabeblatt 1'!$D$18,(E147+G147+I147+H147+J147+K147+L147)/(1+'Eingabeblatt 1'!$D$19)^D147,"")</f>
        <v>-478775.5461594045</v>
      </c>
      <c r="O147" s="350">
        <f>IF(A147&lt;='Eingabeblatt 1'!$D$18,O146+N147,"")</f>
        <v>-82542538.020065814</v>
      </c>
      <c r="R147" s="351">
        <f>(((40-D147)/40*$Q$116))*('Eingabeblatt 1'!$D$20)+$Q$116/40</f>
        <v>84871.5</v>
      </c>
      <c r="S147" s="351"/>
      <c r="T147" s="351">
        <f>(((30-D118)/30*$S$146))*('Eingabeblatt 1'!$D$20)+$S$146/30</f>
        <v>0</v>
      </c>
      <c r="U147" s="351"/>
      <c r="V147" s="351">
        <f>(((20-D128)/20*$U$136))*('Eingabeblatt 1'!$D$20)+$U$136/20</f>
        <v>800970.16541631636</v>
      </c>
      <c r="W147" s="351"/>
      <c r="X147" s="354">
        <f>(((10-D118)/10*$W$146))*('Eingabeblatt 1'!$D$20)+$W$146/10</f>
        <v>1254231.8275093746</v>
      </c>
      <c r="Y147" s="354">
        <f t="shared" si="11"/>
        <v>2140073.492925691</v>
      </c>
      <c r="AG147" s="342"/>
      <c r="AH147" s="342"/>
      <c r="AI147" s="342"/>
      <c r="AJ147" s="342"/>
    </row>
    <row r="148" spans="1:36" s="341" customFormat="1" x14ac:dyDescent="0.3">
      <c r="A148" s="345">
        <v>32</v>
      </c>
      <c r="C148" s="346">
        <f>IF(A148&lt;='Eingabeblatt 1'!$D$18,C147+1,"")</f>
        <v>2050</v>
      </c>
      <c r="D148" s="345">
        <f>IF(A148&lt;='Eingabeblatt 1'!$D$18,D147+1,"")</f>
        <v>32</v>
      </c>
      <c r="E148" s="354">
        <f>IF(A148&lt;='Eingabeblatt 1'!$D$18,IF(D148='Eingabeblatt 1'!$D$34,-'Eingabeblatt 1'!$L$34*(1+'Eingabeblatt 1'!$J$34)^D148,IF(D148='Eingabeblatt 1'!$D$35,-'Eingabeblatt 1'!$L$35*(1+'Eingabeblatt 1'!$J$35)^D148,IF(D148='Eingabeblatt 1'!$D$36,-'Eingabeblatt 1'!$L$36*(1+'Eingabeblatt 1'!$J$36)^D148,0))),"")</f>
        <v>0</v>
      </c>
      <c r="F148" s="354">
        <f t="shared" si="10"/>
        <v>-2103200.4758062824</v>
      </c>
      <c r="G148" s="347">
        <f>IF(A148&lt;='Eingabeblatt 1'!$D$18,IF(D148='Eingabeblatt 1'!$D$41,-('Eingabeblatt 1'!$L$40+'Eingabeblatt 1'!$L$41)*(1+'Eingabeblatt 1'!$J$40)^D148,-('Eingabeblatt 1'!$L$40)*(1+'Eingabeblatt 1'!$J$40)^D148),"")</f>
        <v>-659589.20723539509</v>
      </c>
      <c r="H148" s="347">
        <f>IF(A148&lt;='Eingabeblatt 1'!$D$18,H147*(1+'Eingabeblatt 1'!$J$42),"")</f>
        <v>-697639.17752645956</v>
      </c>
      <c r="I148" s="347">
        <f>IF(A148&lt;='Eingabeblatt 1'!$D$18,(-'Eingabeblatt 1'!$L$45*(1+'Eingabeblatt 1'!$J$45)^'Zusammenfassung Ergebnis'!D148)-('Eingabeblatt 1'!$L$46*(1+'Eingabeblatt 1'!$J$46)^'Zusammenfassung Ergebnis'!D148)-('Eingabeblatt 1'!$L$47*(1+'Eingabeblatt 1'!$J$47)^'Zusammenfassung Ergebnis'!D148),"")</f>
        <v>-288124.02736604074</v>
      </c>
      <c r="J148" s="347">
        <f>IF(A147&lt;='Eingabeblatt 1'!$D$18,'Eingabeblatt 1'!$D$51*(1+'Eingabeblatt 1'!$J$51)^'Zusammenfassung Ergebnis'!D148,"")</f>
        <v>0</v>
      </c>
      <c r="K148" s="348">
        <f t="shared" si="12"/>
        <v>0</v>
      </c>
      <c r="L148" s="348">
        <f>IF(D148&lt;='Eingabeblatt 1'!$D$18,(SUMIFS('Eingabeblatt 2'!$K$14:$K$53,'Eingabeblatt 2'!$E$14:$E$53,'Zusammenfassung Ergebnis'!D148))*(1+'Eingabeblatt 1'!$J$34)^'Zusammenfassung Ergebnis'!D148,"")</f>
        <v>0</v>
      </c>
      <c r="M148" s="349">
        <f>IF(A148&lt;='Eingabeblatt 1'!$D$18,SUM(G148:L148)+E148,"")</f>
        <v>-1645352.4121278953</v>
      </c>
      <c r="N148" s="350">
        <f>IF(A148&lt;='Eingabeblatt 1'!$D$18,(E148+G148+I148+H148+J148+K148+L148)/(1+'Eingabeblatt 1'!$D$19)^D148,"")</f>
        <v>-469020.76928081241</v>
      </c>
      <c r="O148" s="350">
        <f>IF(A148&lt;='Eingabeblatt 1'!$D$18,O147+N148,"")</f>
        <v>-83011558.78934662</v>
      </c>
      <c r="R148" s="351">
        <f>(((40-D148)/40*$Q$116))*('Eingabeblatt 1'!$D$20)+$Q$116/40</f>
        <v>83433</v>
      </c>
      <c r="S148" s="351"/>
      <c r="T148" s="351">
        <f>(((30-D119)/30*$S$146))*('Eingabeblatt 1'!$D$20)+$S$146/30</f>
        <v>0</v>
      </c>
      <c r="U148" s="351"/>
      <c r="V148" s="351">
        <f>(((20-D129)/20*$U$136))*('Eingabeblatt 1'!$D$20)+$U$136/20</f>
        <v>787160.3349781041</v>
      </c>
      <c r="W148" s="351"/>
      <c r="X148" s="354">
        <f>(((10-D119)/10*$W$146))*('Eingabeblatt 1'!$D$20)+$W$146/10</f>
        <v>1232607.1408281783</v>
      </c>
      <c r="Y148" s="354">
        <f t="shared" si="11"/>
        <v>2103200.4758062824</v>
      </c>
      <c r="AG148" s="342"/>
      <c r="AH148" s="342"/>
      <c r="AI148" s="342"/>
      <c r="AJ148" s="342"/>
    </row>
    <row r="149" spans="1:36" s="341" customFormat="1" x14ac:dyDescent="0.3">
      <c r="A149" s="345">
        <v>33</v>
      </c>
      <c r="C149" s="346">
        <f>IF(A149&lt;='Eingabeblatt 1'!$D$18,C148+1,"")</f>
        <v>2051</v>
      </c>
      <c r="D149" s="345">
        <f>IF(A149&lt;='Eingabeblatt 1'!$D$18,D148+1,"")</f>
        <v>33</v>
      </c>
      <c r="E149" s="354">
        <f>IF(A149&lt;='Eingabeblatt 1'!$D$18,IF(D149='Eingabeblatt 1'!$D$34,-'Eingabeblatt 1'!$L$34*(1+'Eingabeblatt 1'!$J$34)^D149,IF(D149='Eingabeblatt 1'!$D$35,-'Eingabeblatt 1'!$L$35*(1+'Eingabeblatt 1'!$J$35)^D149,IF(D149='Eingabeblatt 1'!$D$36,-'Eingabeblatt 1'!$L$36*(1+'Eingabeblatt 1'!$J$36)^D149,0))),"")</f>
        <v>0</v>
      </c>
      <c r="F149" s="354">
        <f t="shared" si="10"/>
        <v>-2066327.4586868738</v>
      </c>
      <c r="G149" s="347">
        <f>IF(A149&lt;='Eingabeblatt 1'!$D$18,IF(D149='Eingabeblatt 1'!$D$41,-('Eingabeblatt 1'!$L$40+'Eingabeblatt 1'!$L$41)*(1+'Eingabeblatt 1'!$J$40)^D149,-('Eingabeblatt 1'!$L$40)*(1+'Eingabeblatt 1'!$J$40)^D149),"")</f>
        <v>-672780.99138010305</v>
      </c>
      <c r="H149" s="347">
        <f>IF(A149&lt;='Eingabeblatt 1'!$D$18,H148*(1+'Eingabeblatt 1'!$J$42),"")</f>
        <v>-713336.05902080482</v>
      </c>
      <c r="I149" s="347">
        <f>IF(A149&lt;='Eingabeblatt 1'!$D$18,(-'Eingabeblatt 1'!$L$45*(1+'Eingabeblatt 1'!$J$45)^'Zusammenfassung Ergebnis'!D149)-('Eingabeblatt 1'!$L$46*(1+'Eingabeblatt 1'!$J$46)^'Zusammenfassung Ergebnis'!D149)-('Eingabeblatt 1'!$L$47*(1+'Eingabeblatt 1'!$J$47)^'Zusammenfassung Ergebnis'!D149),"")</f>
        <v>-290235.162486171</v>
      </c>
      <c r="J149" s="347">
        <f>IF(A148&lt;='Eingabeblatt 1'!$D$18,'Eingabeblatt 1'!$D$51*(1+'Eingabeblatt 1'!$J$51)^'Zusammenfassung Ergebnis'!D149,"")</f>
        <v>0</v>
      </c>
      <c r="K149" s="348">
        <f t="shared" si="12"/>
        <v>0</v>
      </c>
      <c r="L149" s="348">
        <f>IF(D149&lt;='Eingabeblatt 1'!$D$18,(SUMIFS('Eingabeblatt 2'!$K$14:$K$53,'Eingabeblatt 2'!$E$14:$E$53,'Zusammenfassung Ergebnis'!D149))*(1+'Eingabeblatt 1'!$J$34)^'Zusammenfassung Ergebnis'!D149,"")</f>
        <v>0</v>
      </c>
      <c r="M149" s="349">
        <f>IF(A149&lt;='Eingabeblatt 1'!$D$18,SUM(G149:L149)+E149,"")</f>
        <v>-1676352.212887079</v>
      </c>
      <c r="N149" s="350">
        <f>IF(A149&lt;='Eingabeblatt 1'!$D$18,(E149+G149+I149+H149+J149+K149+L149)/(1+'Eingabeblatt 1'!$D$19)^D149,"")</f>
        <v>-459478.37368040904</v>
      </c>
      <c r="O149" s="350">
        <f>IF(A149&lt;='Eingabeblatt 1'!$D$18,O148+N149,"")</f>
        <v>-83471037.163027033</v>
      </c>
      <c r="R149" s="351">
        <f>(((40-D149)/40*$Q$116))*('Eingabeblatt 1'!$D$20)+$Q$116/40</f>
        <v>81994.5</v>
      </c>
      <c r="S149" s="351"/>
      <c r="T149" s="351">
        <f>(((30-D120)/30*$S$146))*('Eingabeblatt 1'!$D$20)+$S$146/30</f>
        <v>0</v>
      </c>
      <c r="U149" s="351"/>
      <c r="V149" s="351">
        <f>(((20-D130)/20*$U$136))*('Eingabeblatt 1'!$D$20)+$U$136/20</f>
        <v>773350.50453989173</v>
      </c>
      <c r="W149" s="351"/>
      <c r="X149" s="354">
        <f>(((10-D120)/10*$W$146))*('Eingabeblatt 1'!$D$20)+$W$146/10</f>
        <v>1210982.4541469822</v>
      </c>
      <c r="Y149" s="354">
        <f t="shared" si="11"/>
        <v>2066327.4586868738</v>
      </c>
      <c r="AG149" s="342"/>
      <c r="AH149" s="342"/>
      <c r="AI149" s="342"/>
      <c r="AJ149" s="342"/>
    </row>
    <row r="150" spans="1:36" s="341" customFormat="1" x14ac:dyDescent="0.3">
      <c r="A150" s="345">
        <v>34</v>
      </c>
      <c r="C150" s="346">
        <f>IF(A150&lt;='Eingabeblatt 1'!$D$18,C149+1,"")</f>
        <v>2052</v>
      </c>
      <c r="D150" s="345">
        <f>IF(A150&lt;='Eingabeblatt 1'!$D$18,D149+1,"")</f>
        <v>34</v>
      </c>
      <c r="E150" s="354">
        <f>IF(A150&lt;='Eingabeblatt 1'!$D$18,IF(D150='Eingabeblatt 1'!$D$34,-'Eingabeblatt 1'!$L$34*(1+'Eingabeblatt 1'!$J$34)^D150,IF(D150='Eingabeblatt 1'!$D$35,-'Eingabeblatt 1'!$L$35*(1+'Eingabeblatt 1'!$J$35)^D150,IF(D150='Eingabeblatt 1'!$D$36,-'Eingabeblatt 1'!$L$36*(1+'Eingabeblatt 1'!$J$36)^D150,0))),"")</f>
        <v>0</v>
      </c>
      <c r="F150" s="354">
        <f t="shared" si="10"/>
        <v>-2029454.4415674654</v>
      </c>
      <c r="G150" s="347">
        <f>IF(A150&lt;='Eingabeblatt 1'!$D$18,IF(D150='Eingabeblatt 1'!$D$41,-('Eingabeblatt 1'!$L$40+'Eingabeblatt 1'!$L$41)*(1+'Eingabeblatt 1'!$J$40)^D150,-('Eingabeblatt 1'!$L$40)*(1+'Eingabeblatt 1'!$J$40)^D150),"")</f>
        <v>-686236.61120770511</v>
      </c>
      <c r="H150" s="347">
        <f>IF(A150&lt;='Eingabeblatt 1'!$D$18,H149*(1+'Eingabeblatt 1'!$J$42),"")</f>
        <v>-729386.12034877285</v>
      </c>
      <c r="I150" s="347">
        <f>IF(A150&lt;='Eingabeblatt 1'!$D$18,(-'Eingabeblatt 1'!$L$45*(1+'Eingabeblatt 1'!$J$45)^'Zusammenfassung Ergebnis'!D150)-('Eingabeblatt 1'!$L$46*(1+'Eingabeblatt 1'!$J$46)^'Zusammenfassung Ergebnis'!D150)-('Eingabeblatt 1'!$L$47*(1+'Eingabeblatt 1'!$J$47)^'Zusammenfassung Ergebnis'!D150),"")</f>
        <v>-292363.55843173491</v>
      </c>
      <c r="J150" s="347">
        <f>IF(A149&lt;='Eingabeblatt 1'!$D$18,'Eingabeblatt 1'!$D$51*(1+'Eingabeblatt 1'!$J$51)^'Zusammenfassung Ergebnis'!D150,"")</f>
        <v>0</v>
      </c>
      <c r="K150" s="348">
        <f t="shared" si="12"/>
        <v>0</v>
      </c>
      <c r="L150" s="348">
        <f>IF(D150&lt;='Eingabeblatt 1'!$D$18,(SUMIFS('Eingabeblatt 2'!$K$14:$K$53,'Eingabeblatt 2'!$E$14:$E$53,'Zusammenfassung Ergebnis'!D150))*(1+'Eingabeblatt 1'!$J$34)^'Zusammenfassung Ergebnis'!D150,"")</f>
        <v>0</v>
      </c>
      <c r="M150" s="349">
        <f>IF(A150&lt;='Eingabeblatt 1'!$D$18,SUM(G150:L150)+E150,"")</f>
        <v>-1707986.2899882128</v>
      </c>
      <c r="N150" s="350">
        <f>IF(A150&lt;='Eingabeblatt 1'!$D$18,(E150+G150+I150+H150+J150+K150+L150)/(1+'Eingabeblatt 1'!$D$19)^D150,"")</f>
        <v>-450143.35566004633</v>
      </c>
      <c r="O150" s="350">
        <f>IF(A150&lt;='Eingabeblatt 1'!$D$18,O149+N150,"")</f>
        <v>-83921180.518687084</v>
      </c>
      <c r="R150" s="351">
        <f>(((40-D150)/40*$Q$116))*('Eingabeblatt 1'!$D$20)+$Q$116/40</f>
        <v>80556</v>
      </c>
      <c r="S150" s="351"/>
      <c r="T150" s="351">
        <f>(((30-D121)/30*$S$146))*('Eingabeblatt 1'!$D$20)+$S$146/30</f>
        <v>0</v>
      </c>
      <c r="U150" s="351"/>
      <c r="V150" s="351">
        <f>(((20-D131)/20*$U$136))*('Eingabeblatt 1'!$D$20)+$U$136/20</f>
        <v>759540.67410167935</v>
      </c>
      <c r="W150" s="351"/>
      <c r="X150" s="354">
        <f>(((10-D121)/10*$W$146))*('Eingabeblatt 1'!$D$20)+$W$146/10</f>
        <v>1189357.7674657861</v>
      </c>
      <c r="Y150" s="354">
        <f t="shared" si="11"/>
        <v>2029454.4415674654</v>
      </c>
      <c r="AG150" s="342"/>
      <c r="AH150" s="342"/>
      <c r="AI150" s="342"/>
      <c r="AJ150" s="342"/>
    </row>
    <row r="151" spans="1:36" s="341" customFormat="1" x14ac:dyDescent="0.3">
      <c r="A151" s="345">
        <v>35</v>
      </c>
      <c r="C151" s="346">
        <f>IF(A151&lt;='Eingabeblatt 1'!$D$18,C150+1,"")</f>
        <v>2053</v>
      </c>
      <c r="D151" s="345">
        <f>IF(A151&lt;='Eingabeblatt 1'!$D$18,D150+1,"")</f>
        <v>35</v>
      </c>
      <c r="E151" s="354">
        <f>IF(A151&lt;='Eingabeblatt 1'!$D$18,IF(D151='Eingabeblatt 1'!$D$34,-'Eingabeblatt 1'!$L$34*(1+'Eingabeblatt 1'!$J$34)^D151,IF(D151='Eingabeblatt 1'!$D$35,-'Eingabeblatt 1'!$L$35*(1+'Eingabeblatt 1'!$J$35)^D151,IF(D151='Eingabeblatt 1'!$D$36,-'Eingabeblatt 1'!$L$36*(1+'Eingabeblatt 1'!$J$36)^D151,0))),"")</f>
        <v>0</v>
      </c>
      <c r="F151" s="354">
        <f t="shared" si="10"/>
        <v>-1992581.4244480571</v>
      </c>
      <c r="G151" s="347">
        <f>IF(A151&lt;='Eingabeblatt 1'!$D$18,IF(D151='Eingabeblatt 1'!$D$41,-('Eingabeblatt 1'!$L$40+'Eingabeblatt 1'!$L$41)*(1+'Eingabeblatt 1'!$J$40)^D151,-('Eingabeblatt 1'!$L$40)*(1+'Eingabeblatt 1'!$J$40)^D151),"")</f>
        <v>-699961.34343185916</v>
      </c>
      <c r="H151" s="347">
        <f>IF(A151&lt;='Eingabeblatt 1'!$D$18,H150*(1+'Eingabeblatt 1'!$J$42),"")</f>
        <v>-745797.30805662018</v>
      </c>
      <c r="I151" s="347">
        <f>IF(A151&lt;='Eingabeblatt 1'!$D$18,(-'Eingabeblatt 1'!$L$45*(1+'Eingabeblatt 1'!$J$45)^'Zusammenfassung Ergebnis'!D151)-('Eingabeblatt 1'!$L$46*(1+'Eingabeblatt 1'!$J$46)^'Zusammenfassung Ergebnis'!D151)-('Eingabeblatt 1'!$L$47*(1+'Eingabeblatt 1'!$J$47)^'Zusammenfassung Ergebnis'!D151),"")</f>
        <v>-294509.36855835805</v>
      </c>
      <c r="J151" s="347">
        <f>IF(A150&lt;='Eingabeblatt 1'!$D$18,'Eingabeblatt 1'!$D$51*(1+'Eingabeblatt 1'!$J$51)^'Zusammenfassung Ergebnis'!D151,"")</f>
        <v>0</v>
      </c>
      <c r="K151" s="348">
        <f t="shared" si="12"/>
        <v>0</v>
      </c>
      <c r="L151" s="348">
        <f>IF(D151&lt;='Eingabeblatt 1'!$D$18,(SUMIFS('Eingabeblatt 2'!$K$14:$K$53,'Eingabeblatt 2'!$E$14:$E$53,'Zusammenfassung Ergebnis'!D151))*(1+'Eingabeblatt 1'!$J$34)^'Zusammenfassung Ergebnis'!D151,"")</f>
        <v>0</v>
      </c>
      <c r="M151" s="349">
        <f>IF(A151&lt;='Eingabeblatt 1'!$D$18,SUM(G151:L151)+E151,"")</f>
        <v>-1740268.0200468372</v>
      </c>
      <c r="N151" s="350">
        <f>IF(A151&lt;='Eingabeblatt 1'!$D$18,(E151+G151+I151+H151+J151+K151+L151)/(1+'Eingabeblatt 1'!$D$19)^D151,"")</f>
        <v>-441010.83949181915</v>
      </c>
      <c r="O151" s="350">
        <f>IF(A151&lt;='Eingabeblatt 1'!$D$18,O150+N151,"")</f>
        <v>-84362191.358178899</v>
      </c>
      <c r="R151" s="351">
        <f>(((40-D151)/40*$Q$116))*('Eingabeblatt 1'!$D$20)+$Q$116/40</f>
        <v>79117.5</v>
      </c>
      <c r="S151" s="351"/>
      <c r="T151" s="351">
        <f>(((30-D122)/30*$S$146))*('Eingabeblatt 1'!$D$20)+$S$146/30</f>
        <v>0</v>
      </c>
      <c r="U151" s="351"/>
      <c r="V151" s="351">
        <f>(((20-D132)/20*$U$136))*('Eingabeblatt 1'!$D$20)+$U$136/20</f>
        <v>745730.84366346698</v>
      </c>
      <c r="W151" s="351"/>
      <c r="X151" s="354">
        <f>(((10-D122)/10*$W$146))*('Eingabeblatt 1'!$D$20)+$W$146/10</f>
        <v>1167733.08078459</v>
      </c>
      <c r="Y151" s="354">
        <f t="shared" si="11"/>
        <v>1992581.4244480571</v>
      </c>
      <c r="AG151" s="342"/>
      <c r="AH151" s="342"/>
      <c r="AI151" s="342"/>
      <c r="AJ151" s="342"/>
    </row>
    <row r="152" spans="1:36" s="341" customFormat="1" x14ac:dyDescent="0.3">
      <c r="A152" s="345">
        <v>36</v>
      </c>
      <c r="C152" s="346">
        <f>IF(A152&lt;='Eingabeblatt 1'!$D$18,C151+1,"")</f>
        <v>2054</v>
      </c>
      <c r="D152" s="345">
        <f>IF(A152&lt;='Eingabeblatt 1'!$D$18,D151+1,"")</f>
        <v>36</v>
      </c>
      <c r="E152" s="354">
        <f>IF(A152&lt;='Eingabeblatt 1'!$D$18,IF(D152='Eingabeblatt 1'!$D$34,-'Eingabeblatt 1'!$L$34*(1+'Eingabeblatt 1'!$J$34)^D152,IF(D152='Eingabeblatt 1'!$D$35,-'Eingabeblatt 1'!$L$35*(1+'Eingabeblatt 1'!$J$35)^D152,IF(D152='Eingabeblatt 1'!$D$36,-'Eingabeblatt 1'!$L$36*(1+'Eingabeblatt 1'!$J$36)^D152,0))),"")</f>
        <v>0</v>
      </c>
      <c r="F152" s="354">
        <f t="shared" si="10"/>
        <v>-1955708.4073286485</v>
      </c>
      <c r="G152" s="347">
        <f>IF(A152&lt;='Eingabeblatt 1'!$D$18,IF(D152='Eingabeblatt 1'!$D$41,-('Eingabeblatt 1'!$L$40+'Eingabeblatt 1'!$L$41)*(1+'Eingabeblatt 1'!$J$40)^D152,-('Eingabeblatt 1'!$L$40)*(1+'Eingabeblatt 1'!$J$40)^D152),"")</f>
        <v>-713960.5703004963</v>
      </c>
      <c r="H152" s="347">
        <f>IF(A152&lt;='Eingabeblatt 1'!$D$18,H151*(1+'Eingabeblatt 1'!$J$42),"")</f>
        <v>-762577.74748789414</v>
      </c>
      <c r="I152" s="347">
        <f>IF(A152&lt;='Eingabeblatt 1'!$D$18,(-'Eingabeblatt 1'!$L$45*(1+'Eingabeblatt 1'!$J$45)^'Zusammenfassung Ergebnis'!D152)-('Eingabeblatt 1'!$L$46*(1+'Eingabeblatt 1'!$J$46)^'Zusammenfassung Ergebnis'!D152)-('Eingabeblatt 1'!$L$47*(1+'Eingabeblatt 1'!$J$47)^'Zusammenfassung Ergebnis'!D152),"")</f>
        <v>-296672.74765895889</v>
      </c>
      <c r="J152" s="347">
        <f>IF(A151&lt;='Eingabeblatt 1'!$D$18,'Eingabeblatt 1'!$D$51*(1+'Eingabeblatt 1'!$J$51)^'Zusammenfassung Ergebnis'!D152,"")</f>
        <v>0</v>
      </c>
      <c r="K152" s="348">
        <f t="shared" si="12"/>
        <v>0</v>
      </c>
      <c r="L152" s="348">
        <f>IF(D152&lt;='Eingabeblatt 1'!$D$18,(SUMIFS('Eingabeblatt 2'!$K$14:$K$53,'Eingabeblatt 2'!$E$14:$E$53,'Zusammenfassung Ergebnis'!D152))*(1+'Eingabeblatt 1'!$J$34)^'Zusammenfassung Ergebnis'!D152,"")</f>
        <v>0</v>
      </c>
      <c r="M152" s="349">
        <f>IF(A152&lt;='Eingabeblatt 1'!$D$18,SUM(G152:L152)+E152,"")</f>
        <v>-1773211.0654473493</v>
      </c>
      <c r="N152" s="350">
        <f>IF(A152&lt;='Eingabeblatt 1'!$D$18,(E152+G152+I152+H152+J152+K152+L152)/(1+'Eingabeblatt 1'!$D$19)^D152,"")</f>
        <v>-432076.07389344269</v>
      </c>
      <c r="O152" s="350">
        <f>IF(A152&lt;='Eingabeblatt 1'!$D$18,O151+N152,"")</f>
        <v>-84794267.432072341</v>
      </c>
      <c r="R152" s="351">
        <f>(((40-D152)/40*$Q$116))*('Eingabeblatt 1'!$D$20)+$Q$116/40</f>
        <v>77679</v>
      </c>
      <c r="S152" s="351"/>
      <c r="T152" s="351">
        <f>(((30-D123)/30*$S$146))*('Eingabeblatt 1'!$D$20)+$S$146/30</f>
        <v>0</v>
      </c>
      <c r="U152" s="351"/>
      <c r="V152" s="351">
        <f>(((20-D133)/20*$U$136))*('Eingabeblatt 1'!$D$20)+$U$136/20</f>
        <v>731921.0132252546</v>
      </c>
      <c r="W152" s="351"/>
      <c r="X152" s="354">
        <f>(((10-D123)/10*$W$146))*('Eingabeblatt 1'!$D$20)+$W$146/10</f>
        <v>1146108.3941033939</v>
      </c>
      <c r="Y152" s="354">
        <f t="shared" si="11"/>
        <v>1955708.4073286485</v>
      </c>
      <c r="AG152" s="342"/>
      <c r="AH152" s="342"/>
      <c r="AI152" s="342"/>
      <c r="AJ152" s="342"/>
    </row>
    <row r="153" spans="1:36" s="341" customFormat="1" x14ac:dyDescent="0.3">
      <c r="A153" s="345">
        <v>37</v>
      </c>
      <c r="C153" s="346">
        <f>IF(A153&lt;='Eingabeblatt 1'!$D$18,C152+1,"")</f>
        <v>2055</v>
      </c>
      <c r="D153" s="345">
        <f>IF(A153&lt;='Eingabeblatt 1'!$D$18,D152+1,"")</f>
        <v>37</v>
      </c>
      <c r="E153" s="354">
        <f>IF(A153&lt;='Eingabeblatt 1'!$D$18,IF(D153='Eingabeblatt 1'!$D$34,-'Eingabeblatt 1'!$L$34*(1+'Eingabeblatt 1'!$J$34)^D153,IF(D153='Eingabeblatt 1'!$D$35,-'Eingabeblatt 1'!$L$35*(1+'Eingabeblatt 1'!$J$35)^D153,IF(D153='Eingabeblatt 1'!$D$36,-'Eingabeblatt 1'!$L$36*(1+'Eingabeblatt 1'!$J$36)^D153,0))),"")</f>
        <v>0</v>
      </c>
      <c r="F153" s="354">
        <f t="shared" si="10"/>
        <v>-1918835.3902092401</v>
      </c>
      <c r="G153" s="347">
        <f>IF(A153&lt;='Eingabeblatt 1'!$D$18,IF(D153='Eingabeblatt 1'!$D$41,-('Eingabeblatt 1'!$L$40+'Eingabeblatt 1'!$L$41)*(1+'Eingabeblatt 1'!$J$40)^D153,-('Eingabeblatt 1'!$L$40)*(1+'Eingabeblatt 1'!$J$40)^D153),"")</f>
        <v>-728239.78170650627</v>
      </c>
      <c r="H153" s="347">
        <f>IF(A153&lt;='Eingabeblatt 1'!$D$18,H152*(1+'Eingabeblatt 1'!$J$42),"")</f>
        <v>-779735.74680637172</v>
      </c>
      <c r="I153" s="347">
        <f>IF(A153&lt;='Eingabeblatt 1'!$D$18,(-'Eingabeblatt 1'!$L$45*(1+'Eingabeblatt 1'!$J$45)^'Zusammenfassung Ergebnis'!D153)-('Eingabeblatt 1'!$L$46*(1+'Eingabeblatt 1'!$J$46)^'Zusammenfassung Ergebnis'!D153)-('Eingabeblatt 1'!$L$47*(1+'Eingabeblatt 1'!$J$47)^'Zusammenfassung Ergebnis'!D153),"")</f>
        <v>-298853.85197764082</v>
      </c>
      <c r="J153" s="347">
        <f>IF(A152&lt;='Eingabeblatt 1'!$D$18,'Eingabeblatt 1'!$D$51*(1+'Eingabeblatt 1'!$J$51)^'Zusammenfassung Ergebnis'!D153,"")</f>
        <v>0</v>
      </c>
      <c r="K153" s="348">
        <f t="shared" si="12"/>
        <v>0</v>
      </c>
      <c r="L153" s="348">
        <f>IF(D153&lt;='Eingabeblatt 1'!$D$18,(SUMIFS('Eingabeblatt 2'!$K$14:$K$53,'Eingabeblatt 2'!$E$14:$E$53,'Zusammenfassung Ergebnis'!D153))*(1+'Eingabeblatt 1'!$J$34)^'Zusammenfassung Ergebnis'!D153,"")</f>
        <v>0</v>
      </c>
      <c r="M153" s="349">
        <f>IF(A153&lt;='Eingabeblatt 1'!$D$18,SUM(G153:L153)+E153,"")</f>
        <v>-1806829.3804905186</v>
      </c>
      <c r="N153" s="350">
        <f>IF(A153&lt;='Eingabeblatt 1'!$D$18,(E153+G153+I153+H153+J153+K153+L153)/(1+'Eingabeblatt 1'!$D$19)^D153,"")</f>
        <v>-423334.42860660452</v>
      </c>
      <c r="O153" s="350">
        <f>IF(A153&lt;='Eingabeblatt 1'!$D$18,O152+N153,"")</f>
        <v>-85217601.860678941</v>
      </c>
      <c r="R153" s="351">
        <f>(((40-D153)/40*$Q$116))*('Eingabeblatt 1'!$D$20)+$Q$116/40</f>
        <v>76240.5</v>
      </c>
      <c r="S153" s="351"/>
      <c r="T153" s="351">
        <f>(((30-D124)/30*$S$146))*('Eingabeblatt 1'!$D$20)+$S$146/30</f>
        <v>0</v>
      </c>
      <c r="U153" s="351"/>
      <c r="V153" s="351">
        <f>(((20-D134)/20*$U$136))*('Eingabeblatt 1'!$D$20)+$U$136/20</f>
        <v>718111.18278704234</v>
      </c>
      <c r="W153" s="351"/>
      <c r="X153" s="354">
        <f>(((10-D124)/10*$W$146))*('Eingabeblatt 1'!$D$20)+$W$146/10</f>
        <v>1124483.7074221978</v>
      </c>
      <c r="Y153" s="354">
        <f t="shared" si="11"/>
        <v>1918835.3902092401</v>
      </c>
      <c r="AG153" s="342"/>
      <c r="AH153" s="342"/>
      <c r="AI153" s="342"/>
      <c r="AJ153" s="342"/>
    </row>
    <row r="154" spans="1:36" s="341" customFormat="1" x14ac:dyDescent="0.3">
      <c r="A154" s="345">
        <v>38</v>
      </c>
      <c r="C154" s="346">
        <f>IF(A154&lt;='Eingabeblatt 1'!$D$18,C153+1,"")</f>
        <v>2056</v>
      </c>
      <c r="D154" s="345">
        <f>IF(A154&lt;='Eingabeblatt 1'!$D$18,D153+1,"")</f>
        <v>38</v>
      </c>
      <c r="E154" s="354">
        <f>IF(A154&lt;='Eingabeblatt 1'!$D$18,IF(D154='Eingabeblatt 1'!$D$34,-'Eingabeblatt 1'!$L$34*(1+'Eingabeblatt 1'!$J$34)^D154,IF(D154='Eingabeblatt 1'!$D$35,-'Eingabeblatt 1'!$L$35*(1+'Eingabeblatt 1'!$J$35)^D154,IF(D154='Eingabeblatt 1'!$D$36,-'Eingabeblatt 1'!$L$36*(1+'Eingabeblatt 1'!$J$36)^D154,0))),"")</f>
        <v>0</v>
      </c>
      <c r="F154" s="354">
        <f t="shared" si="10"/>
        <v>-1881962.3730898318</v>
      </c>
      <c r="G154" s="347">
        <f>IF(A154&lt;='Eingabeblatt 1'!$D$18,IF(D154='Eingabeblatt 1'!$D$41,-('Eingabeblatt 1'!$L$40+'Eingabeblatt 1'!$L$41)*(1+'Eingabeblatt 1'!$J$40)^D154,-('Eingabeblatt 1'!$L$40)*(1+'Eingabeblatt 1'!$J$40)^D154),"")</f>
        <v>-742804.57734063652</v>
      </c>
      <c r="H154" s="347">
        <f>IF(A154&lt;='Eingabeblatt 1'!$D$18,H153*(1+'Eingabeblatt 1'!$J$42),"")</f>
        <v>-797279.80110951501</v>
      </c>
      <c r="I154" s="347">
        <f>IF(A154&lt;='Eingabeblatt 1'!$D$18,(-'Eingabeblatt 1'!$L$45*(1+'Eingabeblatt 1'!$J$45)^'Zusammenfassung Ergebnis'!D154)-('Eingabeblatt 1'!$L$46*(1+'Eingabeblatt 1'!$J$46)^'Zusammenfassung Ergebnis'!D154)-('Eingabeblatt 1'!$L$47*(1+'Eingabeblatt 1'!$J$47)^'Zusammenfassung Ergebnis'!D154),"")</f>
        <v>-301052.83922372002</v>
      </c>
      <c r="J154" s="347">
        <f>IF(A153&lt;='Eingabeblatt 1'!$D$18,'Eingabeblatt 1'!$D$51*(1+'Eingabeblatt 1'!$J$51)^'Zusammenfassung Ergebnis'!D154,"")</f>
        <v>0</v>
      </c>
      <c r="K154" s="348">
        <f t="shared" si="12"/>
        <v>0</v>
      </c>
      <c r="L154" s="348">
        <f>IF(D154&lt;='Eingabeblatt 1'!$D$18,(SUMIFS('Eingabeblatt 2'!$K$14:$K$53,'Eingabeblatt 2'!$E$14:$E$53,'Zusammenfassung Ergebnis'!D154))*(1+'Eingabeblatt 1'!$J$34)^'Zusammenfassung Ergebnis'!D154,"")</f>
        <v>0</v>
      </c>
      <c r="M154" s="349">
        <f>IF(A154&lt;='Eingabeblatt 1'!$D$18,SUM(G154:L154)+E154,"")</f>
        <v>-1841137.2176738717</v>
      </c>
      <c r="N154" s="350">
        <f>IF(A154&lt;='Eingabeblatt 1'!$D$18,(E154+G154+I154+H154+J154+K154+L154)/(1+'Eingabeblatt 1'!$D$19)^D154,"")</f>
        <v>-414781.39107515052</v>
      </c>
      <c r="O154" s="350">
        <f>IF(A154&lt;='Eingabeblatt 1'!$D$18,O153+N154,"")</f>
        <v>-85632383.25175409</v>
      </c>
      <c r="R154" s="351">
        <f>(((40-D154)/40*$Q$116))*('Eingabeblatt 1'!$D$20)+$Q$116/40</f>
        <v>74802</v>
      </c>
      <c r="S154" s="351"/>
      <c r="T154" s="351">
        <f>(((30-D125)/30*$S$146))*('Eingabeblatt 1'!$D$20)+$S$146/30</f>
        <v>0</v>
      </c>
      <c r="U154" s="351"/>
      <c r="V154" s="351">
        <f>(((20-D135)/20*$U$136))*('Eingabeblatt 1'!$D$20)+$U$136/20</f>
        <v>704301.35234882997</v>
      </c>
      <c r="W154" s="351"/>
      <c r="X154" s="354">
        <f>(((10-D125)/10*$W$146))*('Eingabeblatt 1'!$D$20)+$W$146/10</f>
        <v>1102859.0207410017</v>
      </c>
      <c r="Y154" s="354">
        <f t="shared" si="11"/>
        <v>1881962.3730898318</v>
      </c>
      <c r="AG154" s="342"/>
      <c r="AH154" s="342"/>
      <c r="AI154" s="342"/>
      <c r="AJ154" s="342"/>
    </row>
    <row r="155" spans="1:36" s="341" customFormat="1" x14ac:dyDescent="0.3">
      <c r="A155" s="345">
        <v>39</v>
      </c>
      <c r="C155" s="346">
        <f>IF(A155&lt;='Eingabeblatt 1'!$D$18,C154+1,"")</f>
        <v>2057</v>
      </c>
      <c r="D155" s="345">
        <f>IF(A155&lt;='Eingabeblatt 1'!$D$18,D154+1,"")</f>
        <v>39</v>
      </c>
      <c r="E155" s="354">
        <f>IF(A155&lt;='Eingabeblatt 1'!$D$18,IF(D155='Eingabeblatt 1'!$D$34,-'Eingabeblatt 1'!$L$34*(1+'Eingabeblatt 1'!$J$34)^D155,IF(D155='Eingabeblatt 1'!$D$35,-'Eingabeblatt 1'!$L$35*(1+'Eingabeblatt 1'!$J$35)^D155,IF(D155='Eingabeblatt 1'!$D$36,-'Eingabeblatt 1'!$L$36*(1+'Eingabeblatt 1'!$J$36)^D155,0))),"")</f>
        <v>0</v>
      </c>
      <c r="F155" s="354">
        <f t="shared" si="10"/>
        <v>-1845089.3559704232</v>
      </c>
      <c r="G155" s="347">
        <f>IF(A155&lt;='Eingabeblatt 1'!$D$18,IF(D155='Eingabeblatt 1'!$D$41,-('Eingabeblatt 1'!$L$40+'Eingabeblatt 1'!$L$41)*(1+'Eingabeblatt 1'!$J$40)^D155,-('Eingabeblatt 1'!$L$40)*(1+'Eingabeblatt 1'!$J$40)^D155),"")</f>
        <v>-757660.66888744896</v>
      </c>
      <c r="H155" s="347">
        <f>IF(A155&lt;='Eingabeblatt 1'!$D$18,H154*(1+'Eingabeblatt 1'!$J$42),"")</f>
        <v>-815218.59663447912</v>
      </c>
      <c r="I155" s="347">
        <f>IF(A155&lt;='Eingabeblatt 1'!$D$18,(-'Eingabeblatt 1'!$L$45*(1+'Eingabeblatt 1'!$J$45)^'Zusammenfassung Ergebnis'!D155)-('Eingabeblatt 1'!$L$46*(1+'Eingabeblatt 1'!$J$46)^'Zusammenfassung Ergebnis'!D155)-('Eingabeblatt 1'!$L$47*(1+'Eingabeblatt 1'!$J$47)^'Zusammenfassung Ergebnis'!D155),"")</f>
        <v>-303269.86858589156</v>
      </c>
      <c r="J155" s="347">
        <f>IF(A154&lt;='Eingabeblatt 1'!$D$18,'Eingabeblatt 1'!$D$51*(1+'Eingabeblatt 1'!$J$51)^'Zusammenfassung Ergebnis'!D155,"")</f>
        <v>0</v>
      </c>
      <c r="K155" s="348">
        <f t="shared" si="12"/>
        <v>0</v>
      </c>
      <c r="L155" s="348">
        <f>IF(D155&lt;='Eingabeblatt 1'!$D$18,(SUMIFS('Eingabeblatt 2'!$K$14:$K$53,'Eingabeblatt 2'!$E$14:$E$53,'Zusammenfassung Ergebnis'!D155))*(1+'Eingabeblatt 1'!$J$34)^'Zusammenfassung Ergebnis'!D155,"")</f>
        <v>0</v>
      </c>
      <c r="M155" s="349">
        <f>IF(A155&lt;='Eingabeblatt 1'!$D$18,SUM(G155:L155)+E155,"")</f>
        <v>-1876149.1341078198</v>
      </c>
      <c r="N155" s="350">
        <f>IF(A155&lt;='Eingabeblatt 1'!$D$18,(E155+G155+I155+H155+J155+K155+L155)/(1+'Eingabeblatt 1'!$D$19)^D155,"")</f>
        <v>-406412.56322006282</v>
      </c>
      <c r="O155" s="350">
        <f>IF(A155&lt;='Eingabeblatt 1'!$D$18,O154+N155,"")</f>
        <v>-86038795.814974159</v>
      </c>
      <c r="R155" s="351">
        <f>(((40-D155)/40*$Q$116))*('Eingabeblatt 1'!$D$20)+$Q$116/40</f>
        <v>73363.5</v>
      </c>
      <c r="S155" s="351"/>
      <c r="T155" s="351">
        <f>(((30-D126)/30*$S$146))*('Eingabeblatt 1'!$D$20)+$S$146/30</f>
        <v>0</v>
      </c>
      <c r="U155" s="351"/>
      <c r="V155" s="351">
        <f>(((20-D136)/20*$U$136))*('Eingabeblatt 1'!$D$20)+$U$136/20</f>
        <v>690491.52191061759</v>
      </c>
      <c r="W155" s="351"/>
      <c r="X155" s="354">
        <f>(((10-D126)/10*$W$146))*('Eingabeblatt 1'!$D$20)+$W$146/10</f>
        <v>1081234.3340598056</v>
      </c>
      <c r="Y155" s="354">
        <f t="shared" si="11"/>
        <v>1845089.3559704232</v>
      </c>
      <c r="AG155" s="342"/>
      <c r="AH155" s="342"/>
      <c r="AI155" s="342"/>
      <c r="AJ155" s="342"/>
    </row>
    <row r="156" spans="1:36" s="341" customFormat="1" x14ac:dyDescent="0.3">
      <c r="A156" s="345">
        <v>40</v>
      </c>
      <c r="C156" s="346">
        <f>IF(A156&lt;='Eingabeblatt 1'!$D$18,C155+1,"")</f>
        <v>2058</v>
      </c>
      <c r="D156" s="345">
        <f>IF(A156&lt;='Eingabeblatt 1'!$D$18,D155+1,"")</f>
        <v>40</v>
      </c>
      <c r="E156" s="354">
        <f>IF(A156&lt;='Eingabeblatt 1'!$D$18,IF(D156='Eingabeblatt 1'!$D$34,-'Eingabeblatt 1'!$L$34*(1+'Eingabeblatt 1'!$J$34)^D156,IF(D156='Eingabeblatt 1'!$D$35,-'Eingabeblatt 1'!$L$35*(1+'Eingabeblatt 1'!$J$35)^D156,IF(D156='Eingabeblatt 1'!$D$36,-'Eingabeblatt 1'!$L$36*(1+'Eingabeblatt 1'!$J$36)^D156,IF(D156='Eingabeblatt 1'!$D$37,-'Eingabeblatt 1'!$L$37*(1+'Eingabeblatt 1'!$J$37)^D156,0)))),"")</f>
        <v>-1391064.9880773567</v>
      </c>
      <c r="F156" s="354">
        <f t="shared" si="10"/>
        <v>-1808216.3388510146</v>
      </c>
      <c r="G156" s="347">
        <f>IF(A156&lt;='Eingabeblatt 1'!$D$18,IF(D156='Eingabeblatt 1'!$D$41,-('Eingabeblatt 1'!$L$40+'Eingabeblatt 1'!$L$41)*(1+'Eingabeblatt 1'!$J$40)^D156,-('Eingabeblatt 1'!$L$40)*(1+'Eingabeblatt 1'!$J$40)^D156),"")</f>
        <v>-772813.88226519816</v>
      </c>
      <c r="H156" s="347">
        <f>IF(A156&lt;='Eingabeblatt 1'!$D$18,H155*(1+'Eingabeblatt 1'!$J$42),"")</f>
        <v>-833561.01505875483</v>
      </c>
      <c r="I156" s="347">
        <f>IF(A156&lt;='Eingabeblatt 1'!$D$18,(-'Eingabeblatt 1'!$L$45*(1+'Eingabeblatt 1'!$J$45)^'Zusammenfassung Ergebnis'!D156)-('Eingabeblatt 1'!$L$46*(1+'Eingabeblatt 1'!$J$46)^'Zusammenfassung Ergebnis'!D156)-('Eingabeblatt 1'!$L$47*(1+'Eingabeblatt 1'!$J$47)^'Zusammenfassung Ergebnis'!D156),"")</f>
        <v>-305505.10074653453</v>
      </c>
      <c r="J156" s="347">
        <f>IF(A155&lt;='Eingabeblatt 1'!$D$18,'Eingabeblatt 1'!$D$51*(1+'Eingabeblatt 1'!$J$51)^'Zusammenfassung Ergebnis'!D156,"")</f>
        <v>0</v>
      </c>
      <c r="K156" s="348">
        <f t="shared" si="12"/>
        <v>0</v>
      </c>
      <c r="L156" s="348">
        <f>IF(D156&lt;='Eingabeblatt 1'!$D$18,(SUMIFS('Eingabeblatt 2'!$K$14:$K$53,'Eingabeblatt 2'!$E$14:$E$53,'Zusammenfassung Ergebnis'!D136)+SUMIFS('Eingabeblatt 2'!$K$14:$K$53,'Eingabeblatt 2'!$E$14:$E$53,'Zusammenfassung Ergebnis'!D126))*(1+'Eingabeblatt 1'!$J$34)^'Zusammenfassung Ergebnis'!D136+(SUMIFS('Eingabeblatt 2'!$K$14:$K$53,'Eingabeblatt 2'!$E$14:$E$53,'Zusammenfassung Ergebnis'!D156))*(1+'Eingabeblatt 1'!$J$34)^'Zusammenfassung Ergebnis'!D156,"")</f>
        <v>157932.13584468421</v>
      </c>
      <c r="M156" s="349">
        <f>IF(A156&lt;='Eingabeblatt 1'!$D$18,SUM(G156:L156)+E156,"")</f>
        <v>-3145012.85030316</v>
      </c>
      <c r="N156" s="350">
        <f>IF(A156&lt;='Eingabeblatt 1'!$D$18,(E156+G156+I156+H156+J156+K156+L156)/(1+'Eingabeblatt 1'!$D$19)^D156,"")</f>
        <v>-655071.72204231832</v>
      </c>
      <c r="O156" s="350">
        <f>IF(A156&lt;='Eingabeblatt 1'!$D$18,O155+N156,"")</f>
        <v>-86693867.537016481</v>
      </c>
      <c r="R156" s="351">
        <f>(((40-D156)/40*$Q$116))*('Eingabeblatt 1'!$D$20)+$Q$116/40</f>
        <v>71925</v>
      </c>
      <c r="S156" s="351"/>
      <c r="T156" s="351">
        <f>(((30-D127)/30*$S$146))*('Eingabeblatt 1'!$D$20)+$S$146/30</f>
        <v>0</v>
      </c>
      <c r="U156" s="351"/>
      <c r="V156" s="351">
        <f>(((20-D137)/20*$U$136))*('Eingabeblatt 1'!$D$20)+$U$136/20</f>
        <v>676681.69147240522</v>
      </c>
      <c r="W156" s="351"/>
      <c r="X156" s="354">
        <f>(((10-D127)/10*$W$146))*('Eingabeblatt 1'!$D$20)+$W$146/10</f>
        <v>1059609.6473786095</v>
      </c>
      <c r="Y156" s="354">
        <f t="shared" si="11"/>
        <v>1808216.3388510146</v>
      </c>
      <c r="AG156" s="342"/>
      <c r="AH156" s="342"/>
      <c r="AI156" s="342"/>
      <c r="AJ156" s="342"/>
    </row>
    <row r="157" spans="1:36" s="341" customFormat="1" x14ac:dyDescent="0.3">
      <c r="K157" s="356">
        <f t="shared" ref="K157:O157" si="13">SUM(K116:K156)</f>
        <v>0</v>
      </c>
      <c r="L157" s="356">
        <f t="shared" si="13"/>
        <v>637942.02315773116</v>
      </c>
      <c r="M157" s="356">
        <f t="shared" si="13"/>
        <v>-154827779.90706766</v>
      </c>
      <c r="N157" s="356">
        <f t="shared" si="13"/>
        <v>-86693867.537016481</v>
      </c>
      <c r="O157" s="356">
        <f t="shared" si="13"/>
        <v>-2510546481.1367421</v>
      </c>
      <c r="X157" s="342"/>
      <c r="AG157" s="342"/>
      <c r="AH157" s="342"/>
      <c r="AI157" s="342"/>
      <c r="AJ157" s="342"/>
    </row>
    <row r="158" spans="1:36" s="341" customFormat="1" x14ac:dyDescent="0.3">
      <c r="X158" s="342"/>
      <c r="AG158" s="342"/>
      <c r="AH158" s="342"/>
      <c r="AI158" s="342"/>
      <c r="AJ158" s="342"/>
    </row>
    <row r="159" spans="1:36" s="341" customFormat="1" x14ac:dyDescent="0.3">
      <c r="F159" s="357"/>
      <c r="X159" s="342"/>
      <c r="AG159" s="342"/>
      <c r="AH159" s="342"/>
      <c r="AI159" s="342"/>
      <c r="AJ159" s="342"/>
    </row>
    <row r="160" spans="1:36" s="358" customFormat="1" x14ac:dyDescent="0.3">
      <c r="X160" s="359"/>
      <c r="AG160" s="359"/>
      <c r="AH160" s="359"/>
      <c r="AI160" s="359"/>
      <c r="AJ160" s="359"/>
    </row>
    <row r="161" spans="24:36" s="360" customFormat="1" x14ac:dyDescent="0.3">
      <c r="X161" s="361"/>
      <c r="AG161" s="361"/>
      <c r="AH161" s="361"/>
      <c r="AI161" s="361"/>
      <c r="AJ161" s="361"/>
    </row>
    <row r="162" spans="24:36" s="360" customFormat="1" x14ac:dyDescent="0.3">
      <c r="X162" s="361"/>
      <c r="AG162" s="361"/>
      <c r="AH162" s="361"/>
      <c r="AI162" s="361"/>
      <c r="AJ162" s="361"/>
    </row>
    <row r="163" spans="24:36" s="360" customFormat="1" x14ac:dyDescent="0.3">
      <c r="X163" s="361"/>
      <c r="AG163" s="361"/>
      <c r="AH163" s="361"/>
      <c r="AI163" s="361"/>
      <c r="AJ163" s="361"/>
    </row>
    <row r="164" spans="24:36" s="360" customFormat="1" x14ac:dyDescent="0.3">
      <c r="X164" s="361"/>
      <c r="AG164" s="361"/>
      <c r="AH164" s="361"/>
      <c r="AI164" s="361"/>
      <c r="AJ164" s="361"/>
    </row>
    <row r="165" spans="24:36" s="360" customFormat="1" x14ac:dyDescent="0.3">
      <c r="X165" s="361"/>
      <c r="AG165" s="361"/>
      <c r="AH165" s="361"/>
      <c r="AI165" s="361"/>
      <c r="AJ165" s="361"/>
    </row>
    <row r="166" spans="24:36" s="360" customFormat="1" x14ac:dyDescent="0.3">
      <c r="X166" s="361"/>
      <c r="AG166" s="361"/>
      <c r="AH166" s="361"/>
      <c r="AI166" s="361"/>
      <c r="AJ166" s="361"/>
    </row>
    <row r="167" spans="24:36" s="360" customFormat="1" x14ac:dyDescent="0.3">
      <c r="X167" s="361"/>
      <c r="AG167" s="361"/>
      <c r="AH167" s="361"/>
      <c r="AI167" s="361"/>
      <c r="AJ167" s="361"/>
    </row>
    <row r="168" spans="24:36" s="360" customFormat="1" x14ac:dyDescent="0.3">
      <c r="X168" s="361"/>
      <c r="AG168" s="361"/>
      <c r="AH168" s="361"/>
      <c r="AI168" s="361"/>
      <c r="AJ168" s="361"/>
    </row>
    <row r="169" spans="24:36" s="360" customFormat="1" x14ac:dyDescent="0.3">
      <c r="X169" s="361"/>
      <c r="AG169" s="361"/>
      <c r="AH169" s="361"/>
      <c r="AI169" s="361"/>
      <c r="AJ169" s="361"/>
    </row>
    <row r="170" spans="24:36" s="360" customFormat="1" x14ac:dyDescent="0.3">
      <c r="X170" s="361"/>
      <c r="AG170" s="361"/>
      <c r="AH170" s="361"/>
      <c r="AI170" s="361"/>
      <c r="AJ170" s="361"/>
    </row>
    <row r="171" spans="24:36" s="360" customFormat="1" x14ac:dyDescent="0.3">
      <c r="X171" s="361"/>
      <c r="AG171" s="361"/>
      <c r="AH171" s="361"/>
      <c r="AI171" s="361"/>
      <c r="AJ171" s="361"/>
    </row>
    <row r="172" spans="24:36" s="360" customFormat="1" x14ac:dyDescent="0.3">
      <c r="X172" s="361"/>
      <c r="AG172" s="361"/>
      <c r="AH172" s="361"/>
      <c r="AI172" s="361"/>
      <c r="AJ172" s="361"/>
    </row>
    <row r="173" spans="24:36" s="360" customFormat="1" x14ac:dyDescent="0.3">
      <c r="X173" s="361"/>
      <c r="AG173" s="361"/>
      <c r="AH173" s="361"/>
      <c r="AI173" s="361"/>
      <c r="AJ173" s="361"/>
    </row>
    <row r="174" spans="24:36" s="360" customFormat="1" x14ac:dyDescent="0.3">
      <c r="X174" s="361"/>
      <c r="AG174" s="361"/>
      <c r="AH174" s="361"/>
      <c r="AI174" s="361"/>
      <c r="AJ174" s="361"/>
    </row>
    <row r="175" spans="24:36" s="360" customFormat="1" x14ac:dyDescent="0.3">
      <c r="X175" s="361"/>
      <c r="AG175" s="361"/>
      <c r="AH175" s="361"/>
      <c r="AI175" s="361"/>
      <c r="AJ175" s="361"/>
    </row>
    <row r="176" spans="24:36" s="360" customFormat="1" x14ac:dyDescent="0.3">
      <c r="X176" s="361"/>
      <c r="AG176" s="361"/>
      <c r="AH176" s="361"/>
      <c r="AI176" s="361"/>
      <c r="AJ176" s="361"/>
    </row>
    <row r="177" spans="24:36" s="360" customFormat="1" x14ac:dyDescent="0.3">
      <c r="X177" s="361"/>
      <c r="AG177" s="361"/>
      <c r="AH177" s="361"/>
      <c r="AI177" s="361"/>
      <c r="AJ177" s="361"/>
    </row>
  </sheetData>
  <sheetProtection algorithmName="SHA-512" hashValue="yMQAaBvnnBvsujPbTgK8ncjKE9L+brG5TaQ84vTNXddlCUcxp9T1/0mj7NveBrIHU44cDA6IqW63AYKAPmiZ1w==" saltValue="JUJGCRhAUnQ5DiYlLFmjaA==" spinCount="100000" sheet="1" objects="1" scenarios="1"/>
  <mergeCells count="6">
    <mergeCell ref="C68:O68"/>
    <mergeCell ref="C114:O114"/>
    <mergeCell ref="C64:H67"/>
    <mergeCell ref="J64:N67"/>
    <mergeCell ref="C41:H44"/>
    <mergeCell ref="J41:N43"/>
  </mergeCells>
  <pageMargins left="0.7" right="0.7" top="0.75" bottom="0.75" header="0.3" footer="0.3"/>
  <pageSetup paperSize="8" scale="69" fitToHeight="0" orientation="portrait" r:id="rId1"/>
  <headerFooter>
    <oddFooter>&amp;C&amp;F</oddFooter>
  </headerFooter>
  <rowBreaks count="1" manualBreakCount="1">
    <brk id="66"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5</vt:i4>
      </vt:variant>
    </vt:vector>
  </HeadingPairs>
  <TitlesOfParts>
    <vt:vector size="10" baseType="lpstr">
      <vt:lpstr>Startseite</vt:lpstr>
      <vt:lpstr>Eingabeblatt 1</vt:lpstr>
      <vt:lpstr>Eingabeblatt 2</vt:lpstr>
      <vt:lpstr>Ergebnis</vt:lpstr>
      <vt:lpstr>Zusammenfassung Ergebnis</vt:lpstr>
      <vt:lpstr>'Eingabeblatt 1'!Afdrukbereik</vt:lpstr>
      <vt:lpstr>'Eingabeblatt 2'!Afdrukbereik</vt:lpstr>
      <vt:lpstr>Ergebnis!Afdrukbereik</vt:lpstr>
      <vt:lpstr>Startseite!Afdrukbereik</vt:lpstr>
      <vt:lpstr>'Zusammenfassung Ergebnis'!Afdrukbereik</vt:lpstr>
    </vt:vector>
  </TitlesOfParts>
  <Company>Hevo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1643801-0109 v0.2 - C2C Businesscase totaal gebouw Rekenmodel BEVEILIGD Duits v4</dc:title>
  <dc:subject>C2C Businesscase totaal gebouw Rekenmodel BEVEILIGD Duits v4</dc:subject>
  <dc:creator>Gemert, Martijn van (Hevo)</dc:creator>
  <cp:lastModifiedBy>Joris van den Berg (Hevo)</cp:lastModifiedBy>
  <cp:lastPrinted>2019-11-01T14:16:26Z</cp:lastPrinted>
  <dcterms:created xsi:type="dcterms:W3CDTF">2012-10-01T07:40:06Z</dcterms:created>
  <dcterms:modified xsi:type="dcterms:W3CDTF">2019-11-01T14:19:13Z</dcterms:modified>
</cp:coreProperties>
</file>