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295" yWindow="465" windowWidth="16305" windowHeight="16440" tabRatio="801"/>
  </bookViews>
  <sheets>
    <sheet name="Eingabe" sheetId="26" r:id="rId1"/>
    <sheet name="Ergebnis" sheetId="10" r:id="rId2"/>
  </sheets>
  <definedNames>
    <definedName name="_xlnm.Print_Area" localSheetId="0">Eingabe!$B$1:$N$70</definedName>
    <definedName name="_xlnm.Print_Area" localSheetId="1">Ergebnis!$A:$P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42" i="26" l="1"/>
  <c r="H18" i="26" l="1"/>
  <c r="L52" i="26" l="1"/>
  <c r="E80" i="10" s="1"/>
  <c r="L60" i="26"/>
  <c r="I55" i="26" l="1"/>
  <c r="I54" i="26"/>
  <c r="I53" i="26"/>
  <c r="J32" i="26"/>
  <c r="J31" i="26"/>
  <c r="J30" i="26"/>
  <c r="I32" i="26"/>
  <c r="I31" i="26"/>
  <c r="I30" i="26"/>
  <c r="C32" i="10" l="1"/>
  <c r="L29" i="26"/>
  <c r="L30" i="26" s="1"/>
  <c r="L37" i="26" l="1"/>
  <c r="G35" i="10" s="1"/>
  <c r="L35" i="26"/>
  <c r="L64" i="26"/>
  <c r="L41" i="26"/>
  <c r="L63" i="26" s="1"/>
  <c r="L40" i="26"/>
  <c r="L62" i="26"/>
  <c r="L58" i="26"/>
  <c r="L59" i="26"/>
  <c r="L19" i="26"/>
  <c r="L36" i="26"/>
  <c r="L53" i="26" l="1"/>
  <c r="L54" i="26"/>
  <c r="L55" i="26"/>
  <c r="L31" i="26"/>
  <c r="L32" i="26"/>
  <c r="E34" i="10"/>
  <c r="L34" i="10" s="1"/>
  <c r="L69" i="26" l="1"/>
  <c r="L47" i="26"/>
  <c r="I35" i="10" l="1"/>
  <c r="J75" i="10" l="1"/>
  <c r="I81" i="10" l="1"/>
  <c r="J81" i="10" l="1"/>
  <c r="N3" i="10"/>
  <c r="C80" i="10" l="1"/>
  <c r="C81" i="10" s="1"/>
  <c r="C82" i="10" s="1"/>
  <c r="C83" i="10" s="1"/>
  <c r="C84" i="10" s="1"/>
  <c r="C85" i="10" s="1"/>
  <c r="C86" i="10" s="1"/>
  <c r="C87" i="10" s="1"/>
  <c r="C88" i="10" s="1"/>
  <c r="C89" i="10" s="1"/>
  <c r="C90" i="10" s="1"/>
  <c r="C91" i="10" s="1"/>
  <c r="C92" i="10" s="1"/>
  <c r="C93" i="10" s="1"/>
  <c r="C94" i="10" s="1"/>
  <c r="C95" i="10" s="1"/>
  <c r="C96" i="10" s="1"/>
  <c r="C97" i="10" s="1"/>
  <c r="C98" i="10" s="1"/>
  <c r="C99" i="10" s="1"/>
  <c r="C100" i="10" s="1"/>
  <c r="C101" i="10" s="1"/>
  <c r="C102" i="10" s="1"/>
  <c r="C103" i="10" s="1"/>
  <c r="C104" i="10" s="1"/>
  <c r="C105" i="10" s="1"/>
  <c r="C106" i="10" s="1"/>
  <c r="C107" i="10" s="1"/>
  <c r="C108" i="10" s="1"/>
  <c r="C109" i="10" s="1"/>
  <c r="C110" i="10" s="1"/>
  <c r="C111" i="10" s="1"/>
  <c r="C112" i="10" s="1"/>
  <c r="C113" i="10" s="1"/>
  <c r="C114" i="10" s="1"/>
  <c r="C115" i="10" s="1"/>
  <c r="C116" i="10" s="1"/>
  <c r="C117" i="10" s="1"/>
  <c r="C118" i="10" s="1"/>
  <c r="C119" i="10" s="1"/>
  <c r="C120" i="10" s="1"/>
  <c r="G81" i="10"/>
  <c r="G82" i="10" s="1"/>
  <c r="G83" i="10" s="1"/>
  <c r="G84" i="10" s="1"/>
  <c r="G85" i="10" s="1"/>
  <c r="G86" i="10" s="1"/>
  <c r="G87" i="10" s="1"/>
  <c r="G88" i="10" s="1"/>
  <c r="G89" i="10" s="1"/>
  <c r="G90" i="10" s="1"/>
  <c r="G91" i="10" s="1"/>
  <c r="G92" i="10" s="1"/>
  <c r="G93" i="10" s="1"/>
  <c r="G94" i="10" s="1"/>
  <c r="G95" i="10" s="1"/>
  <c r="G96" i="10" s="1"/>
  <c r="G97" i="10" s="1"/>
  <c r="G98" i="10" s="1"/>
  <c r="G99" i="10" s="1"/>
  <c r="G100" i="10" s="1"/>
  <c r="G101" i="10" s="1"/>
  <c r="G102" i="10" s="1"/>
  <c r="G103" i="10" s="1"/>
  <c r="G104" i="10" s="1"/>
  <c r="G105" i="10" s="1"/>
  <c r="G106" i="10" s="1"/>
  <c r="G107" i="10" s="1"/>
  <c r="G108" i="10" s="1"/>
  <c r="G109" i="10" s="1"/>
  <c r="G110" i="10" s="1"/>
  <c r="G111" i="10" s="1"/>
  <c r="G112" i="10" s="1"/>
  <c r="G113" i="10" s="1"/>
  <c r="G114" i="10" s="1"/>
  <c r="G115" i="10" s="1"/>
  <c r="G116" i="10" s="1"/>
  <c r="G117" i="10" s="1"/>
  <c r="G118" i="10" s="1"/>
  <c r="G119" i="10" s="1"/>
  <c r="G120" i="10" s="1"/>
  <c r="D80" i="10"/>
  <c r="G36" i="10"/>
  <c r="G37" i="10" s="1"/>
  <c r="G38" i="10" s="1"/>
  <c r="G39" i="10" s="1"/>
  <c r="G40" i="10" s="1"/>
  <c r="G41" i="10" s="1"/>
  <c r="G42" i="10" s="1"/>
  <c r="G43" i="10" s="1"/>
  <c r="G44" i="10" s="1"/>
  <c r="G45" i="10" s="1"/>
  <c r="G46" i="10" s="1"/>
  <c r="G47" i="10" s="1"/>
  <c r="G48" i="10" s="1"/>
  <c r="G49" i="10" s="1"/>
  <c r="G50" i="10" s="1"/>
  <c r="G51" i="10" s="1"/>
  <c r="G52" i="10" s="1"/>
  <c r="G53" i="10" s="1"/>
  <c r="G54" i="10" s="1"/>
  <c r="G55" i="10" s="1"/>
  <c r="G56" i="10" s="1"/>
  <c r="G57" i="10" s="1"/>
  <c r="G58" i="10" s="1"/>
  <c r="G59" i="10" s="1"/>
  <c r="G60" i="10" s="1"/>
  <c r="G61" i="10" s="1"/>
  <c r="G62" i="10" s="1"/>
  <c r="G63" i="10" s="1"/>
  <c r="G64" i="10" s="1"/>
  <c r="G65" i="10" s="1"/>
  <c r="G66" i="10" s="1"/>
  <c r="G67" i="10" s="1"/>
  <c r="G68" i="10" s="1"/>
  <c r="G69" i="10" s="1"/>
  <c r="G70" i="10" s="1"/>
  <c r="G71" i="10" s="1"/>
  <c r="G72" i="10" s="1"/>
  <c r="G73" i="10" s="1"/>
  <c r="G74" i="10" s="1"/>
  <c r="D34" i="10"/>
  <c r="M34" i="10" s="1"/>
  <c r="N34" i="10" s="1"/>
  <c r="C34" i="10"/>
  <c r="C35" i="10" s="1"/>
  <c r="C36" i="10" s="1"/>
  <c r="C37" i="10" s="1"/>
  <c r="C38" i="10" s="1"/>
  <c r="C39" i="10" s="1"/>
  <c r="C40" i="10" s="1"/>
  <c r="C41" i="10" s="1"/>
  <c r="C42" i="10" s="1"/>
  <c r="C43" i="10" s="1"/>
  <c r="C44" i="10" s="1"/>
  <c r="C45" i="10" s="1"/>
  <c r="C46" i="10" s="1"/>
  <c r="C47" i="10" s="1"/>
  <c r="C48" i="10" s="1"/>
  <c r="C49" i="10" s="1"/>
  <c r="C50" i="10" s="1"/>
  <c r="C51" i="10" s="1"/>
  <c r="C52" i="10" s="1"/>
  <c r="C53" i="10" s="1"/>
  <c r="C54" i="10" s="1"/>
  <c r="C55" i="10" s="1"/>
  <c r="C56" i="10" s="1"/>
  <c r="C57" i="10" s="1"/>
  <c r="C58" i="10" s="1"/>
  <c r="C59" i="10" s="1"/>
  <c r="C60" i="10" s="1"/>
  <c r="C61" i="10" s="1"/>
  <c r="C62" i="10" s="1"/>
  <c r="C63" i="10" s="1"/>
  <c r="C64" i="10" s="1"/>
  <c r="C65" i="10" s="1"/>
  <c r="C66" i="10" s="1"/>
  <c r="C67" i="10" s="1"/>
  <c r="C68" i="10" s="1"/>
  <c r="C69" i="10" s="1"/>
  <c r="C70" i="10" s="1"/>
  <c r="C71" i="10" s="1"/>
  <c r="C72" i="10" s="1"/>
  <c r="C73" i="10" s="1"/>
  <c r="C74" i="10" s="1"/>
  <c r="L80" i="10" l="1"/>
  <c r="D81" i="10"/>
  <c r="F81" i="10" s="1"/>
  <c r="D35" i="10"/>
  <c r="K35" i="10" s="1"/>
  <c r="M80" i="10" l="1"/>
  <c r="U34" i="10"/>
  <c r="T34" i="10"/>
  <c r="H81" i="10"/>
  <c r="E35" i="10"/>
  <c r="D82" i="10"/>
  <c r="H82" i="10" s="1"/>
  <c r="K81" i="10"/>
  <c r="E81" i="10"/>
  <c r="D36" i="10"/>
  <c r="F35" i="10"/>
  <c r="H35" i="10"/>
  <c r="C78" i="10"/>
  <c r="L35" i="10" l="1"/>
  <c r="M35" i="10" s="1"/>
  <c r="N35" i="10" s="1"/>
  <c r="V34" i="10"/>
  <c r="L81" i="10"/>
  <c r="U35" i="10" s="1"/>
  <c r="H36" i="10"/>
  <c r="K36" i="10"/>
  <c r="E82" i="10"/>
  <c r="K82" i="10"/>
  <c r="I82" i="10"/>
  <c r="J82" i="10"/>
  <c r="D83" i="10"/>
  <c r="F82" i="10"/>
  <c r="N80" i="10"/>
  <c r="Z34" i="10" s="1"/>
  <c r="AF34" i="10" s="1"/>
  <c r="F36" i="10"/>
  <c r="E36" i="10"/>
  <c r="D37" i="10"/>
  <c r="K37" i="10" s="1"/>
  <c r="I36" i="10"/>
  <c r="L36" i="10" l="1"/>
  <c r="M36" i="10" s="1"/>
  <c r="N36" i="10" s="1"/>
  <c r="E83" i="10"/>
  <c r="I83" i="10"/>
  <c r="K83" i="10"/>
  <c r="J83" i="10"/>
  <c r="H83" i="10"/>
  <c r="F83" i="10"/>
  <c r="D84" i="10"/>
  <c r="D38" i="10"/>
  <c r="K38" i="10" s="1"/>
  <c r="E37" i="10"/>
  <c r="H37" i="10"/>
  <c r="I37" i="10"/>
  <c r="F37" i="10"/>
  <c r="L37" i="10" l="1"/>
  <c r="M37" i="10" s="1"/>
  <c r="N37" i="10" s="1"/>
  <c r="E84" i="10"/>
  <c r="K84" i="10"/>
  <c r="I84" i="10"/>
  <c r="J84" i="10"/>
  <c r="D85" i="10"/>
  <c r="H84" i="10"/>
  <c r="F84" i="10"/>
  <c r="I38" i="10"/>
  <c r="D39" i="10"/>
  <c r="K39" i="10" s="1"/>
  <c r="E38" i="10"/>
  <c r="F38" i="10"/>
  <c r="H38" i="10"/>
  <c r="N4" i="10"/>
  <c r="N2" i="10"/>
  <c r="E4" i="10"/>
  <c r="E3" i="10"/>
  <c r="E2" i="10"/>
  <c r="L38" i="10" l="1"/>
  <c r="M38" i="10" s="1"/>
  <c r="N38" i="10" s="1"/>
  <c r="E85" i="10"/>
  <c r="K85" i="10"/>
  <c r="I85" i="10"/>
  <c r="J85" i="10"/>
  <c r="D86" i="10"/>
  <c r="H85" i="10"/>
  <c r="F85" i="10"/>
  <c r="M81" i="10"/>
  <c r="L82" i="10"/>
  <c r="L83" i="10"/>
  <c r="L84" i="10"/>
  <c r="D40" i="10"/>
  <c r="K40" i="10" s="1"/>
  <c r="I39" i="10"/>
  <c r="E39" i="10"/>
  <c r="F39" i="10"/>
  <c r="H39" i="10"/>
  <c r="L39" i="10" l="1"/>
  <c r="M39" i="10" s="1"/>
  <c r="N39" i="10" s="1"/>
  <c r="T35" i="10"/>
  <c r="V35" i="10" s="1"/>
  <c r="M83" i="10"/>
  <c r="U37" i="10"/>
  <c r="T38" i="10"/>
  <c r="M84" i="10"/>
  <c r="U38" i="10"/>
  <c r="M82" i="10"/>
  <c r="U36" i="10"/>
  <c r="T37" i="10"/>
  <c r="T36" i="10"/>
  <c r="L85" i="10"/>
  <c r="K86" i="10"/>
  <c r="E86" i="10"/>
  <c r="I86" i="10"/>
  <c r="J86" i="10"/>
  <c r="H86" i="10"/>
  <c r="D87" i="10"/>
  <c r="F86" i="10"/>
  <c r="F40" i="10"/>
  <c r="E40" i="10"/>
  <c r="I40" i="10"/>
  <c r="D41" i="10"/>
  <c r="K41" i="10" s="1"/>
  <c r="H40" i="10"/>
  <c r="N81" i="10"/>
  <c r="L40" i="10" l="1"/>
  <c r="M40" i="10" s="1"/>
  <c r="N40" i="10" s="1"/>
  <c r="V38" i="10"/>
  <c r="V36" i="10"/>
  <c r="T39" i="10"/>
  <c r="N82" i="10"/>
  <c r="N83" i="10" s="1"/>
  <c r="N84" i="10" s="1"/>
  <c r="V37" i="10"/>
  <c r="M85" i="10"/>
  <c r="U39" i="10"/>
  <c r="Y35" i="10"/>
  <c r="L86" i="10"/>
  <c r="E87" i="10"/>
  <c r="I87" i="10"/>
  <c r="K87" i="10"/>
  <c r="J87" i="10"/>
  <c r="F87" i="10"/>
  <c r="H87" i="10"/>
  <c r="D88" i="10"/>
  <c r="F41" i="10"/>
  <c r="D42" i="10"/>
  <c r="K42" i="10" s="1"/>
  <c r="H41" i="10"/>
  <c r="E41" i="10"/>
  <c r="I41" i="10"/>
  <c r="T40" i="10" l="1"/>
  <c r="L41" i="10"/>
  <c r="M41" i="10" s="1"/>
  <c r="N41" i="10" s="1"/>
  <c r="V39" i="10"/>
  <c r="M86" i="10"/>
  <c r="U40" i="10"/>
  <c r="V40" i="10" s="1"/>
  <c r="N85" i="10"/>
  <c r="K88" i="10"/>
  <c r="E88" i="10"/>
  <c r="I88" i="10"/>
  <c r="J88" i="10"/>
  <c r="D89" i="10"/>
  <c r="F88" i="10"/>
  <c r="H88" i="10"/>
  <c r="L87" i="10"/>
  <c r="E42" i="10"/>
  <c r="F42" i="10"/>
  <c r="I42" i="10"/>
  <c r="D43" i="10"/>
  <c r="K43" i="10" s="1"/>
  <c r="H42" i="10"/>
  <c r="T41" i="10" l="1"/>
  <c r="L42" i="10"/>
  <c r="M42" i="10" s="1"/>
  <c r="N42" i="10" s="1"/>
  <c r="M87" i="10"/>
  <c r="U41" i="10"/>
  <c r="N86" i="10"/>
  <c r="L88" i="10"/>
  <c r="U42" i="10" s="1"/>
  <c r="I89" i="10"/>
  <c r="K89" i="10"/>
  <c r="E89" i="10"/>
  <c r="J89" i="10"/>
  <c r="H89" i="10"/>
  <c r="D90" i="10"/>
  <c r="F89" i="10"/>
  <c r="D44" i="10"/>
  <c r="K44" i="10" s="1"/>
  <c r="I43" i="10"/>
  <c r="H43" i="10"/>
  <c r="F43" i="10"/>
  <c r="E43" i="10"/>
  <c r="Y34" i="10"/>
  <c r="Z36" i="10"/>
  <c r="Z35" i="10"/>
  <c r="AF35" i="10" s="1"/>
  <c r="V41" i="10" l="1"/>
  <c r="L43" i="10"/>
  <c r="M43" i="10" s="1"/>
  <c r="N43" i="10" s="1"/>
  <c r="AF36" i="10"/>
  <c r="T42" i="10"/>
  <c r="V42" i="10" s="1"/>
  <c r="N87" i="10"/>
  <c r="AA34" i="10"/>
  <c r="AE34" i="10"/>
  <c r="K90" i="10"/>
  <c r="I90" i="10"/>
  <c r="E90" i="10"/>
  <c r="J90" i="10"/>
  <c r="D91" i="10"/>
  <c r="H90" i="10"/>
  <c r="F90" i="10"/>
  <c r="L89" i="10"/>
  <c r="M88" i="10"/>
  <c r="E44" i="10"/>
  <c r="D45" i="10"/>
  <c r="K45" i="10" s="1"/>
  <c r="I44" i="10"/>
  <c r="H44" i="10"/>
  <c r="F44" i="10"/>
  <c r="Z37" i="10"/>
  <c r="AF37" i="10" s="1"/>
  <c r="AA35" i="10"/>
  <c r="L44" i="10" l="1"/>
  <c r="M44" i="10" s="1"/>
  <c r="N44" i="10" s="1"/>
  <c r="AE35" i="10"/>
  <c r="N88" i="10"/>
  <c r="T43" i="10"/>
  <c r="M89" i="10"/>
  <c r="U43" i="10"/>
  <c r="AB34" i="10"/>
  <c r="L90" i="10"/>
  <c r="U44" i="10" s="1"/>
  <c r="K91" i="10"/>
  <c r="I91" i="10"/>
  <c r="E91" i="10"/>
  <c r="J91" i="10"/>
  <c r="F91" i="10"/>
  <c r="D92" i="10"/>
  <c r="H91" i="10"/>
  <c r="D46" i="10"/>
  <c r="K46" i="10" s="1"/>
  <c r="I45" i="10"/>
  <c r="F45" i="10"/>
  <c r="E45" i="10"/>
  <c r="H45" i="10"/>
  <c r="T44" i="10"/>
  <c r="Z38" i="10"/>
  <c r="AF38" i="10" s="1"/>
  <c r="Z39" i="10"/>
  <c r="Y36" i="10"/>
  <c r="AE36" i="10" s="1"/>
  <c r="V43" i="10" l="1"/>
  <c r="N89" i="10"/>
  <c r="L45" i="10"/>
  <c r="M45" i="10" s="1"/>
  <c r="N45" i="10" s="1"/>
  <c r="AF39" i="10"/>
  <c r="V44" i="10"/>
  <c r="L91" i="10"/>
  <c r="K92" i="10"/>
  <c r="I92" i="10"/>
  <c r="E92" i="10"/>
  <c r="J92" i="10"/>
  <c r="H92" i="10"/>
  <c r="F92" i="10"/>
  <c r="D93" i="10"/>
  <c r="M90" i="10"/>
  <c r="H46" i="10"/>
  <c r="D47" i="10"/>
  <c r="K47" i="10" s="1"/>
  <c r="E46" i="10"/>
  <c r="F46" i="10"/>
  <c r="I46" i="10"/>
  <c r="AA36" i="10"/>
  <c r="Z40" i="10"/>
  <c r="AF40" i="10" s="1"/>
  <c r="Y37" i="10"/>
  <c r="AE37" i="10" s="1"/>
  <c r="N90" i="10" l="1"/>
  <c r="T45" i="10"/>
  <c r="L46" i="10"/>
  <c r="M46" i="10" s="1"/>
  <c r="N46" i="10" s="1"/>
  <c r="M91" i="10"/>
  <c r="N91" i="10" s="1"/>
  <c r="U45" i="10"/>
  <c r="AB35" i="10"/>
  <c r="K93" i="10"/>
  <c r="I93" i="10"/>
  <c r="E93" i="10"/>
  <c r="J93" i="10"/>
  <c r="H93" i="10"/>
  <c r="D94" i="10"/>
  <c r="F93" i="10"/>
  <c r="L92" i="10"/>
  <c r="D48" i="10"/>
  <c r="K48" i="10" s="1"/>
  <c r="H47" i="10"/>
  <c r="F47" i="10"/>
  <c r="I47" i="10"/>
  <c r="E47" i="10"/>
  <c r="AA37" i="10"/>
  <c r="Z41" i="10"/>
  <c r="AF41" i="10" s="1"/>
  <c r="Y38" i="10"/>
  <c r="V45" i="10" l="1"/>
  <c r="T46" i="10"/>
  <c r="L47" i="10"/>
  <c r="M47" i="10" s="1"/>
  <c r="N47" i="10" s="1"/>
  <c r="M92" i="10"/>
  <c r="N92" i="10" s="1"/>
  <c r="U46" i="10"/>
  <c r="AA38" i="10"/>
  <c r="AB37" i="10" s="1"/>
  <c r="AE38" i="10"/>
  <c r="AB36" i="10"/>
  <c r="K94" i="10"/>
  <c r="I94" i="10"/>
  <c r="E94" i="10"/>
  <c r="J94" i="10"/>
  <c r="D95" i="10"/>
  <c r="F94" i="10"/>
  <c r="H94" i="10"/>
  <c r="L93" i="10"/>
  <c r="F48" i="10"/>
  <c r="E48" i="10"/>
  <c r="H48" i="10"/>
  <c r="I48" i="10"/>
  <c r="D49" i="10"/>
  <c r="K49" i="10" s="1"/>
  <c r="Z42" i="10"/>
  <c r="AF42" i="10" s="1"/>
  <c r="Y39" i="10"/>
  <c r="AE39" i="10" s="1"/>
  <c r="Y40" i="10"/>
  <c r="V46" i="10" l="1"/>
  <c r="T47" i="10"/>
  <c r="L48" i="10"/>
  <c r="M48" i="10" s="1"/>
  <c r="N48" i="10" s="1"/>
  <c r="M93" i="10"/>
  <c r="N93" i="10" s="1"/>
  <c r="U47" i="10"/>
  <c r="AA40" i="10"/>
  <c r="AE40" i="10"/>
  <c r="L94" i="10"/>
  <c r="K95" i="10"/>
  <c r="I95" i="10"/>
  <c r="E95" i="10"/>
  <c r="J95" i="10"/>
  <c r="F95" i="10"/>
  <c r="H95" i="10"/>
  <c r="D96" i="10"/>
  <c r="F49" i="10"/>
  <c r="I49" i="10"/>
  <c r="E49" i="10"/>
  <c r="H49" i="10"/>
  <c r="D50" i="10"/>
  <c r="K50" i="10" s="1"/>
  <c r="AA39" i="10"/>
  <c r="Y41" i="10"/>
  <c r="AE41" i="10" s="1"/>
  <c r="Z43" i="10"/>
  <c r="AF43" i="10" s="1"/>
  <c r="V47" i="10" l="1"/>
  <c r="L49" i="10"/>
  <c r="M49" i="10" s="1"/>
  <c r="N49" i="10" s="1"/>
  <c r="T48" i="10"/>
  <c r="M94" i="10"/>
  <c r="N94" i="10" s="1"/>
  <c r="U48" i="10"/>
  <c r="AB39" i="10"/>
  <c r="AB38" i="10"/>
  <c r="I96" i="10"/>
  <c r="K96" i="10"/>
  <c r="E96" i="10"/>
  <c r="J96" i="10"/>
  <c r="H96" i="10"/>
  <c r="F96" i="10"/>
  <c r="D97" i="10"/>
  <c r="L95" i="10"/>
  <c r="H50" i="10"/>
  <c r="I50" i="10"/>
  <c r="E50" i="10"/>
  <c r="F50" i="10"/>
  <c r="D51" i="10"/>
  <c r="K51" i="10" s="1"/>
  <c r="AA41" i="10"/>
  <c r="Y42" i="10"/>
  <c r="AE42" i="10" s="1"/>
  <c r="Z44" i="10"/>
  <c r="AF44" i="10" s="1"/>
  <c r="T49" i="10" l="1"/>
  <c r="V48" i="10"/>
  <c r="L50" i="10"/>
  <c r="M50" i="10" s="1"/>
  <c r="N50" i="10" s="1"/>
  <c r="M95" i="10"/>
  <c r="N95" i="10" s="1"/>
  <c r="U49" i="10"/>
  <c r="AB40" i="10"/>
  <c r="L96" i="10"/>
  <c r="K97" i="10"/>
  <c r="I97" i="10"/>
  <c r="E97" i="10"/>
  <c r="J97" i="10"/>
  <c r="F97" i="10"/>
  <c r="H97" i="10"/>
  <c r="D98" i="10"/>
  <c r="D52" i="10"/>
  <c r="K52" i="10" s="1"/>
  <c r="E51" i="10"/>
  <c r="I51" i="10"/>
  <c r="H51" i="10"/>
  <c r="F51" i="10"/>
  <c r="AA42" i="10"/>
  <c r="V49" i="10" l="1"/>
  <c r="T50" i="10"/>
  <c r="L51" i="10"/>
  <c r="M51" i="10" s="1"/>
  <c r="N51" i="10" s="1"/>
  <c r="M96" i="10"/>
  <c r="N96" i="10" s="1"/>
  <c r="U50" i="10"/>
  <c r="AB41" i="10"/>
  <c r="K98" i="10"/>
  <c r="I98" i="10"/>
  <c r="E98" i="10"/>
  <c r="J98" i="10"/>
  <c r="D99" i="10"/>
  <c r="F98" i="10"/>
  <c r="H98" i="10"/>
  <c r="L97" i="10"/>
  <c r="U51" i="10" s="1"/>
  <c r="F52" i="10"/>
  <c r="E52" i="10"/>
  <c r="H52" i="10"/>
  <c r="D53" i="10"/>
  <c r="K53" i="10" s="1"/>
  <c r="I52" i="10"/>
  <c r="Y43" i="10"/>
  <c r="AE43" i="10" s="1"/>
  <c r="Z45" i="10"/>
  <c r="AF45" i="10" s="1"/>
  <c r="V50" i="10" l="1"/>
  <c r="L52" i="10"/>
  <c r="M52" i="10" s="1"/>
  <c r="N52" i="10" s="1"/>
  <c r="T51" i="10"/>
  <c r="V51" i="10" s="1"/>
  <c r="M97" i="10"/>
  <c r="N97" i="10" s="1"/>
  <c r="L98" i="10"/>
  <c r="I99" i="10"/>
  <c r="K99" i="10"/>
  <c r="E99" i="10"/>
  <c r="J99" i="10"/>
  <c r="D100" i="10"/>
  <c r="F99" i="10"/>
  <c r="H99" i="10"/>
  <c r="D54" i="10"/>
  <c r="I53" i="10"/>
  <c r="F53" i="10"/>
  <c r="E53" i="10"/>
  <c r="H53" i="10"/>
  <c r="AA43" i="10"/>
  <c r="Z46" i="10"/>
  <c r="AF46" i="10" s="1"/>
  <c r="Y44" i="10"/>
  <c r="AE44" i="10" s="1"/>
  <c r="L53" i="10" l="1"/>
  <c r="M53" i="10" s="1"/>
  <c r="N53" i="10" s="1"/>
  <c r="T52" i="10"/>
  <c r="M98" i="10"/>
  <c r="N98" i="10" s="1"/>
  <c r="U52" i="10"/>
  <c r="AB42" i="10"/>
  <c r="D55" i="10"/>
  <c r="K55" i="10" s="1"/>
  <c r="K54" i="10"/>
  <c r="L99" i="10"/>
  <c r="I100" i="10"/>
  <c r="K100" i="10"/>
  <c r="E100" i="10"/>
  <c r="J100" i="10"/>
  <c r="F100" i="10"/>
  <c r="D101" i="10"/>
  <c r="H100" i="10"/>
  <c r="H54" i="10"/>
  <c r="I54" i="10"/>
  <c r="E54" i="10"/>
  <c r="F54" i="10"/>
  <c r="AA44" i="10"/>
  <c r="Z47" i="10"/>
  <c r="AF47" i="10" s="1"/>
  <c r="Y45" i="10"/>
  <c r="T53" i="10" l="1"/>
  <c r="L54" i="10"/>
  <c r="M54" i="10" s="1"/>
  <c r="N54" i="10" s="1"/>
  <c r="V52" i="10"/>
  <c r="M99" i="10"/>
  <c r="N99" i="10" s="1"/>
  <c r="U53" i="10"/>
  <c r="V53" i="10" s="1"/>
  <c r="AA45" i="10"/>
  <c r="AB44" i="10" s="1"/>
  <c r="AE45" i="10"/>
  <c r="AB43" i="10"/>
  <c r="K101" i="10"/>
  <c r="E101" i="10"/>
  <c r="I101" i="10"/>
  <c r="J101" i="10"/>
  <c r="F101" i="10"/>
  <c r="H101" i="10"/>
  <c r="D102" i="10"/>
  <c r="L100" i="10"/>
  <c r="U54" i="10" s="1"/>
  <c r="E55" i="10"/>
  <c r="F55" i="10"/>
  <c r="H55" i="10"/>
  <c r="I55" i="10"/>
  <c r="D56" i="10"/>
  <c r="Z48" i="10"/>
  <c r="AF48" i="10" s="1"/>
  <c r="Y46" i="10"/>
  <c r="AE46" i="10" s="1"/>
  <c r="T54" i="10" l="1"/>
  <c r="L55" i="10"/>
  <c r="M55" i="10" s="1"/>
  <c r="N55" i="10" s="1"/>
  <c r="V54" i="10"/>
  <c r="D57" i="10"/>
  <c r="K57" i="10" s="1"/>
  <c r="K56" i="10"/>
  <c r="M100" i="10"/>
  <c r="N100" i="10" s="1"/>
  <c r="I102" i="10"/>
  <c r="E102" i="10"/>
  <c r="K102" i="10"/>
  <c r="J102" i="10"/>
  <c r="H102" i="10"/>
  <c r="F102" i="10"/>
  <c r="D103" i="10"/>
  <c r="L101" i="10"/>
  <c r="H56" i="10"/>
  <c r="I56" i="10"/>
  <c r="F56" i="10"/>
  <c r="E56" i="10"/>
  <c r="Z49" i="10"/>
  <c r="AF49" i="10" s="1"/>
  <c r="AA46" i="10"/>
  <c r="Y47" i="10"/>
  <c r="AE47" i="10" s="1"/>
  <c r="Z50" i="10"/>
  <c r="T55" i="10" l="1"/>
  <c r="L56" i="10"/>
  <c r="M56" i="10" s="1"/>
  <c r="N56" i="10" s="1"/>
  <c r="AF50" i="10"/>
  <c r="M101" i="10"/>
  <c r="N101" i="10" s="1"/>
  <c r="U55" i="10"/>
  <c r="V55" i="10" s="1"/>
  <c r="AB45" i="10"/>
  <c r="L102" i="10"/>
  <c r="I103" i="10"/>
  <c r="E103" i="10"/>
  <c r="K103" i="10"/>
  <c r="J103" i="10"/>
  <c r="H103" i="10"/>
  <c r="D104" i="10"/>
  <c r="F103" i="10"/>
  <c r="H57" i="10"/>
  <c r="I57" i="10"/>
  <c r="D58" i="10"/>
  <c r="K58" i="10" s="1"/>
  <c r="E57" i="10"/>
  <c r="F57" i="10"/>
  <c r="AA47" i="10"/>
  <c r="Y48" i="10"/>
  <c r="AE48" i="10" s="1"/>
  <c r="T56" i="10" l="1"/>
  <c r="L57" i="10"/>
  <c r="M57" i="10" s="1"/>
  <c r="N57" i="10" s="1"/>
  <c r="M102" i="10"/>
  <c r="N102" i="10" s="1"/>
  <c r="U56" i="10"/>
  <c r="V56" i="10" s="1"/>
  <c r="AB46" i="10"/>
  <c r="I104" i="10"/>
  <c r="K104" i="10"/>
  <c r="E104" i="10"/>
  <c r="J104" i="10"/>
  <c r="D105" i="10"/>
  <c r="F104" i="10"/>
  <c r="H104" i="10"/>
  <c r="L103" i="10"/>
  <c r="U57" i="10" s="1"/>
  <c r="I58" i="10"/>
  <c r="H58" i="10"/>
  <c r="D59" i="10"/>
  <c r="K59" i="10" s="1"/>
  <c r="E58" i="10"/>
  <c r="F58" i="10"/>
  <c r="AA48" i="10"/>
  <c r="Y49" i="10"/>
  <c r="AE49" i="10" s="1"/>
  <c r="Z51" i="10"/>
  <c r="AF51" i="10" s="1"/>
  <c r="T57" i="10" l="1"/>
  <c r="V57" i="10" s="1"/>
  <c r="L58" i="10"/>
  <c r="M58" i="10" s="1"/>
  <c r="N58" i="10" s="1"/>
  <c r="AB47" i="10"/>
  <c r="M103" i="10"/>
  <c r="N103" i="10" s="1"/>
  <c r="I105" i="10"/>
  <c r="K105" i="10"/>
  <c r="E105" i="10"/>
  <c r="J105" i="10"/>
  <c r="F105" i="10"/>
  <c r="H105" i="10"/>
  <c r="D106" i="10"/>
  <c r="L104" i="10"/>
  <c r="I59" i="10"/>
  <c r="H59" i="10"/>
  <c r="E59" i="10"/>
  <c r="F59" i="10"/>
  <c r="D60" i="10"/>
  <c r="K60" i="10" s="1"/>
  <c r="AA49" i="10"/>
  <c r="Z52" i="10"/>
  <c r="AF52" i="10" s="1"/>
  <c r="Y50" i="10"/>
  <c r="AE50" i="10" s="1"/>
  <c r="T58" i="10" l="1"/>
  <c r="L59" i="10"/>
  <c r="M59" i="10" s="1"/>
  <c r="N59" i="10" s="1"/>
  <c r="M104" i="10"/>
  <c r="N104" i="10" s="1"/>
  <c r="U58" i="10"/>
  <c r="AB48" i="10"/>
  <c r="E106" i="10"/>
  <c r="K106" i="10"/>
  <c r="I106" i="10"/>
  <c r="J106" i="10"/>
  <c r="F106" i="10"/>
  <c r="D107" i="10"/>
  <c r="H106" i="10"/>
  <c r="L105" i="10"/>
  <c r="E60" i="10"/>
  <c r="H60" i="10"/>
  <c r="D61" i="10"/>
  <c r="K61" i="10" s="1"/>
  <c r="F60" i="10"/>
  <c r="I60" i="10"/>
  <c r="AA50" i="10"/>
  <c r="Z53" i="10"/>
  <c r="AF53" i="10" s="1"/>
  <c r="Y51" i="10"/>
  <c r="AE51" i="10" s="1"/>
  <c r="Y52" i="10"/>
  <c r="V58" i="10" l="1"/>
  <c r="T59" i="10"/>
  <c r="L60" i="10"/>
  <c r="M60" i="10" s="1"/>
  <c r="N60" i="10" s="1"/>
  <c r="M105" i="10"/>
  <c r="N105" i="10" s="1"/>
  <c r="U59" i="10"/>
  <c r="AA52" i="10"/>
  <c r="AE52" i="10"/>
  <c r="AB49" i="10"/>
  <c r="K107" i="10"/>
  <c r="E107" i="10"/>
  <c r="I107" i="10"/>
  <c r="J107" i="10"/>
  <c r="F107" i="10"/>
  <c r="D108" i="10"/>
  <c r="H107" i="10"/>
  <c r="L106" i="10"/>
  <c r="U60" i="10" s="1"/>
  <c r="E61" i="10"/>
  <c r="F61" i="10"/>
  <c r="D62" i="10"/>
  <c r="K62" i="10" s="1"/>
  <c r="I61" i="10"/>
  <c r="H61" i="10"/>
  <c r="AA51" i="10"/>
  <c r="Z54" i="10"/>
  <c r="AF54" i="10" s="1"/>
  <c r="V59" i="10" l="1"/>
  <c r="T60" i="10"/>
  <c r="V60" i="10" s="1"/>
  <c r="AB51" i="10"/>
  <c r="L61" i="10"/>
  <c r="M61" i="10" s="1"/>
  <c r="N61" i="10" s="1"/>
  <c r="AB50" i="10"/>
  <c r="M106" i="10"/>
  <c r="N106" i="10" s="1"/>
  <c r="E108" i="10"/>
  <c r="I108" i="10"/>
  <c r="K108" i="10"/>
  <c r="J108" i="10"/>
  <c r="D109" i="10"/>
  <c r="H108" i="10"/>
  <c r="F108" i="10"/>
  <c r="L107" i="10"/>
  <c r="F62" i="10"/>
  <c r="I62" i="10"/>
  <c r="E62" i="10"/>
  <c r="H62" i="10"/>
  <c r="D63" i="10"/>
  <c r="K63" i="10" s="1"/>
  <c r="Z55" i="10"/>
  <c r="AF55" i="10" s="1"/>
  <c r="Y53" i="10"/>
  <c r="AE53" i="10" s="1"/>
  <c r="T61" i="10" l="1"/>
  <c r="L62" i="10"/>
  <c r="M62" i="10" s="1"/>
  <c r="N62" i="10" s="1"/>
  <c r="M107" i="10"/>
  <c r="N107" i="10" s="1"/>
  <c r="U61" i="10"/>
  <c r="L108" i="10"/>
  <c r="I109" i="10"/>
  <c r="E109" i="10"/>
  <c r="K109" i="10"/>
  <c r="J109" i="10"/>
  <c r="F109" i="10"/>
  <c r="H109" i="10"/>
  <c r="D110" i="10"/>
  <c r="E63" i="10"/>
  <c r="I63" i="10"/>
  <c r="H63" i="10"/>
  <c r="D64" i="10"/>
  <c r="K64" i="10" s="1"/>
  <c r="F63" i="10"/>
  <c r="Z56" i="10"/>
  <c r="AF56" i="10" s="1"/>
  <c r="AA53" i="10"/>
  <c r="Y54" i="10"/>
  <c r="AE54" i="10" s="1"/>
  <c r="Z57" i="10"/>
  <c r="T62" i="10" l="1"/>
  <c r="V61" i="10"/>
  <c r="L63" i="10"/>
  <c r="M63" i="10" s="1"/>
  <c r="N63" i="10" s="1"/>
  <c r="M108" i="10"/>
  <c r="N108" i="10" s="1"/>
  <c r="U62" i="10"/>
  <c r="V62" i="10" s="1"/>
  <c r="AF57" i="10"/>
  <c r="AB52" i="10"/>
  <c r="I110" i="10"/>
  <c r="E110" i="10"/>
  <c r="K110" i="10"/>
  <c r="J110" i="10"/>
  <c r="D111" i="10"/>
  <c r="H110" i="10"/>
  <c r="F110" i="10"/>
  <c r="L109" i="10"/>
  <c r="U63" i="10" s="1"/>
  <c r="D65" i="10"/>
  <c r="K65" i="10" s="1"/>
  <c r="H64" i="10"/>
  <c r="E64" i="10"/>
  <c r="F64" i="10"/>
  <c r="I64" i="10"/>
  <c r="AA54" i="10"/>
  <c r="Y55" i="10"/>
  <c r="AE55" i="10" s="1"/>
  <c r="Z58" i="10"/>
  <c r="AF58" i="10" s="1"/>
  <c r="T63" i="10" l="1"/>
  <c r="L64" i="10"/>
  <c r="M64" i="10" s="1"/>
  <c r="N64" i="10" s="1"/>
  <c r="V63" i="10"/>
  <c r="AB53" i="10"/>
  <c r="L110" i="10"/>
  <c r="K111" i="10"/>
  <c r="E111" i="10"/>
  <c r="I111" i="10"/>
  <c r="J111" i="10"/>
  <c r="H111" i="10"/>
  <c r="F111" i="10"/>
  <c r="D112" i="10"/>
  <c r="M109" i="10"/>
  <c r="N109" i="10" s="1"/>
  <c r="E65" i="10"/>
  <c r="H65" i="10"/>
  <c r="D66" i="10"/>
  <c r="K66" i="10" s="1"/>
  <c r="F65" i="10"/>
  <c r="I65" i="10"/>
  <c r="AA55" i="10"/>
  <c r="Y56" i="10"/>
  <c r="AE56" i="10" s="1"/>
  <c r="Z59" i="10"/>
  <c r="AF59" i="10" s="1"/>
  <c r="T64" i="10" l="1"/>
  <c r="L65" i="10"/>
  <c r="M65" i="10" s="1"/>
  <c r="N65" i="10" s="1"/>
  <c r="M110" i="10"/>
  <c r="N110" i="10" s="1"/>
  <c r="U64" i="10"/>
  <c r="V64" i="10" s="1"/>
  <c r="AB54" i="10"/>
  <c r="I112" i="10"/>
  <c r="E112" i="10"/>
  <c r="K112" i="10"/>
  <c r="J112" i="10"/>
  <c r="D113" i="10"/>
  <c r="H112" i="10"/>
  <c r="F112" i="10"/>
  <c r="L111" i="10"/>
  <c r="H66" i="10"/>
  <c r="D67" i="10"/>
  <c r="K67" i="10" s="1"/>
  <c r="I66" i="10"/>
  <c r="F66" i="10"/>
  <c r="E66" i="10"/>
  <c r="AA56" i="10"/>
  <c r="Y57" i="10"/>
  <c r="AE57" i="10" s="1"/>
  <c r="Z60" i="10"/>
  <c r="AF60" i="10" s="1"/>
  <c r="T65" i="10" l="1"/>
  <c r="L66" i="10"/>
  <c r="M66" i="10" s="1"/>
  <c r="N66" i="10" s="1"/>
  <c r="M111" i="10"/>
  <c r="N111" i="10" s="1"/>
  <c r="U65" i="10"/>
  <c r="V65" i="10" s="1"/>
  <c r="AB55" i="10"/>
  <c r="L112" i="10"/>
  <c r="K113" i="10"/>
  <c r="I113" i="10"/>
  <c r="E113" i="10"/>
  <c r="J113" i="10"/>
  <c r="F113" i="10"/>
  <c r="H113" i="10"/>
  <c r="D114" i="10"/>
  <c r="H67" i="10"/>
  <c r="F67" i="10"/>
  <c r="E67" i="10"/>
  <c r="I67" i="10"/>
  <c r="D68" i="10"/>
  <c r="K68" i="10" s="1"/>
  <c r="AA57" i="10"/>
  <c r="Y58" i="10"/>
  <c r="AE58" i="10" s="1"/>
  <c r="Z61" i="10"/>
  <c r="AF61" i="10" s="1"/>
  <c r="T66" i="10" l="1"/>
  <c r="L67" i="10"/>
  <c r="M67" i="10" s="1"/>
  <c r="N67" i="10" s="1"/>
  <c r="M112" i="10"/>
  <c r="N112" i="10" s="1"/>
  <c r="U66" i="10"/>
  <c r="AB56" i="10"/>
  <c r="L113" i="10"/>
  <c r="U67" i="10" s="1"/>
  <c r="K114" i="10"/>
  <c r="I114" i="10"/>
  <c r="E114" i="10"/>
  <c r="J114" i="10"/>
  <c r="D115" i="10"/>
  <c r="H114" i="10"/>
  <c r="F114" i="10"/>
  <c r="H68" i="10"/>
  <c r="F68" i="10"/>
  <c r="E68" i="10"/>
  <c r="I68" i="10"/>
  <c r="D69" i="10"/>
  <c r="K69" i="10" s="1"/>
  <c r="AA58" i="10"/>
  <c r="Y59" i="10"/>
  <c r="AE59" i="10" s="1"/>
  <c r="Z62" i="10"/>
  <c r="AF62" i="10" s="1"/>
  <c r="V66" i="10" l="1"/>
  <c r="T67" i="10"/>
  <c r="V67" i="10" s="1"/>
  <c r="L68" i="10"/>
  <c r="M68" i="10" s="1"/>
  <c r="N68" i="10" s="1"/>
  <c r="AB57" i="10"/>
  <c r="L114" i="10"/>
  <c r="M113" i="10"/>
  <c r="N113" i="10" s="1"/>
  <c r="K115" i="10"/>
  <c r="I115" i="10"/>
  <c r="E115" i="10"/>
  <c r="J115" i="10"/>
  <c r="H115" i="10"/>
  <c r="F115" i="10"/>
  <c r="D116" i="10"/>
  <c r="I69" i="10"/>
  <c r="H69" i="10"/>
  <c r="E69" i="10"/>
  <c r="F69" i="10"/>
  <c r="D70" i="10"/>
  <c r="K70" i="10" s="1"/>
  <c r="AA59" i="10"/>
  <c r="Y60" i="10"/>
  <c r="AE60" i="10" s="1"/>
  <c r="Z63" i="10"/>
  <c r="AF63" i="10" s="1"/>
  <c r="T68" i="10" l="1"/>
  <c r="L69" i="10"/>
  <c r="M69" i="10" s="1"/>
  <c r="N69" i="10" s="1"/>
  <c r="M114" i="10"/>
  <c r="N114" i="10" s="1"/>
  <c r="U68" i="10"/>
  <c r="AB58" i="10"/>
  <c r="K116" i="10"/>
  <c r="I116" i="10"/>
  <c r="E116" i="10"/>
  <c r="J116" i="10"/>
  <c r="D117" i="10"/>
  <c r="F116" i="10"/>
  <c r="H116" i="10"/>
  <c r="L115" i="10"/>
  <c r="U69" i="10" s="1"/>
  <c r="I70" i="10"/>
  <c r="H70" i="10"/>
  <c r="D71" i="10"/>
  <c r="K71" i="10" s="1"/>
  <c r="F70" i="10"/>
  <c r="E70" i="10"/>
  <c r="AA60" i="10"/>
  <c r="Y61" i="10"/>
  <c r="AE61" i="10" s="1"/>
  <c r="Y62" i="10"/>
  <c r="Z64" i="10"/>
  <c r="AF64" i="10" s="1"/>
  <c r="V68" i="10" l="1"/>
  <c r="L70" i="10"/>
  <c r="M70" i="10" s="1"/>
  <c r="N70" i="10" s="1"/>
  <c r="T69" i="10"/>
  <c r="V69" i="10" s="1"/>
  <c r="AA62" i="10"/>
  <c r="AE62" i="10"/>
  <c r="AB59" i="10"/>
  <c r="M115" i="10"/>
  <c r="N115" i="10" s="1"/>
  <c r="L116" i="10"/>
  <c r="K117" i="10"/>
  <c r="I117" i="10"/>
  <c r="E117" i="10"/>
  <c r="J117" i="10"/>
  <c r="F117" i="10"/>
  <c r="D118" i="10"/>
  <c r="H117" i="10"/>
  <c r="H71" i="10"/>
  <c r="F71" i="10"/>
  <c r="E71" i="10"/>
  <c r="D72" i="10"/>
  <c r="K72" i="10" s="1"/>
  <c r="I71" i="10"/>
  <c r="AA61" i="10"/>
  <c r="Y63" i="10"/>
  <c r="AE63" i="10" s="1"/>
  <c r="Z65" i="10"/>
  <c r="AF65" i="10" s="1"/>
  <c r="T70" i="10" l="1"/>
  <c r="L71" i="10"/>
  <c r="M71" i="10" s="1"/>
  <c r="N71" i="10" s="1"/>
  <c r="M116" i="10"/>
  <c r="N116" i="10" s="1"/>
  <c r="U70" i="10"/>
  <c r="V70" i="10" s="1"/>
  <c r="AB61" i="10"/>
  <c r="AB60" i="10"/>
  <c r="K118" i="10"/>
  <c r="I118" i="10"/>
  <c r="E118" i="10"/>
  <c r="J118" i="10"/>
  <c r="F118" i="10"/>
  <c r="H118" i="10"/>
  <c r="D119" i="10"/>
  <c r="L117" i="10"/>
  <c r="F72" i="10"/>
  <c r="D73" i="10"/>
  <c r="K73" i="10" s="1"/>
  <c r="I72" i="10"/>
  <c r="H72" i="10"/>
  <c r="E72" i="10"/>
  <c r="AA63" i="10"/>
  <c r="Z66" i="10"/>
  <c r="AF66" i="10" s="1"/>
  <c r="T71" i="10" l="1"/>
  <c r="L72" i="10"/>
  <c r="M72" i="10" s="1"/>
  <c r="N72" i="10" s="1"/>
  <c r="M117" i="10"/>
  <c r="N117" i="10" s="1"/>
  <c r="U71" i="10"/>
  <c r="V71" i="10" s="1"/>
  <c r="AB62" i="10"/>
  <c r="L118" i="10"/>
  <c r="U72" i="10" s="1"/>
  <c r="K119" i="10"/>
  <c r="I119" i="10"/>
  <c r="E119" i="10"/>
  <c r="J119" i="10"/>
  <c r="H119" i="10"/>
  <c r="F119" i="10"/>
  <c r="D120" i="10"/>
  <c r="K120" i="10" s="1"/>
  <c r="I73" i="10"/>
  <c r="F73" i="10"/>
  <c r="H73" i="10"/>
  <c r="D74" i="10"/>
  <c r="K74" i="10" s="1"/>
  <c r="E73" i="10"/>
  <c r="Z67" i="10"/>
  <c r="AF67" i="10" s="1"/>
  <c r="Y64" i="10"/>
  <c r="AE64" i="10" s="1"/>
  <c r="L73" i="10" l="1"/>
  <c r="M73" i="10" s="1"/>
  <c r="N73" i="10" s="1"/>
  <c r="T72" i="10"/>
  <c r="V72" i="10" s="1"/>
  <c r="I120" i="10"/>
  <c r="E120" i="10"/>
  <c r="J120" i="10"/>
  <c r="J121" i="10" s="1"/>
  <c r="F120" i="10"/>
  <c r="H120" i="10"/>
  <c r="L119" i="10"/>
  <c r="M118" i="10"/>
  <c r="N118" i="10" s="1"/>
  <c r="H74" i="10"/>
  <c r="F74" i="10"/>
  <c r="E74" i="10"/>
  <c r="I74" i="10"/>
  <c r="AA64" i="10"/>
  <c r="Z68" i="10"/>
  <c r="AF68" i="10" s="1"/>
  <c r="Y65" i="10"/>
  <c r="AE65" i="10" s="1"/>
  <c r="Y66" i="10"/>
  <c r="L74" i="10" l="1"/>
  <c r="M74" i="10" s="1"/>
  <c r="N74" i="10" s="1"/>
  <c r="M119" i="10"/>
  <c r="N119" i="10" s="1"/>
  <c r="U73" i="10"/>
  <c r="T73" i="10"/>
  <c r="AA66" i="10"/>
  <c r="AE66" i="10"/>
  <c r="AB63" i="10"/>
  <c r="L120" i="10"/>
  <c r="T74" i="10"/>
  <c r="AA65" i="10"/>
  <c r="Z69" i="10"/>
  <c r="AF69" i="10" s="1"/>
  <c r="Y67" i="10"/>
  <c r="AE67" i="10" s="1"/>
  <c r="V73" i="10" l="1"/>
  <c r="M120" i="10"/>
  <c r="N120" i="10" s="1"/>
  <c r="U74" i="10"/>
  <c r="V74" i="10" s="1"/>
  <c r="AB65" i="10"/>
  <c r="AB64" i="10"/>
  <c r="AA67" i="10"/>
  <c r="Y68" i="10"/>
  <c r="AE68" i="10" s="1"/>
  <c r="Z70" i="10"/>
  <c r="AF70" i="10" s="1"/>
  <c r="AB66" i="10" l="1"/>
  <c r="AA68" i="10"/>
  <c r="Z71" i="10"/>
  <c r="AF71" i="10" s="1"/>
  <c r="Y69" i="10"/>
  <c r="AE69" i="10" s="1"/>
  <c r="AB67" i="10" l="1"/>
  <c r="AA69" i="10"/>
  <c r="Y71" i="10"/>
  <c r="I75" i="10"/>
  <c r="Z72" i="10"/>
  <c r="AF72" i="10" s="1"/>
  <c r="AA71" i="10" l="1"/>
  <c r="AB68" i="10"/>
  <c r="Y70" i="10"/>
  <c r="Z73" i="10"/>
  <c r="AF73" i="10" s="1"/>
  <c r="I121" i="10"/>
  <c r="Y72" i="10"/>
  <c r="AA70" i="10" l="1"/>
  <c r="AB70" i="10" s="1"/>
  <c r="AE70" i="10"/>
  <c r="AE71" i="10" s="1"/>
  <c r="AA72" i="10"/>
  <c r="Y73" i="10"/>
  <c r="Z74" i="10"/>
  <c r="AF74" i="10" s="1"/>
  <c r="G8" i="10" s="1"/>
  <c r="L75" i="10"/>
  <c r="AE72" i="10" l="1"/>
  <c r="AB69" i="10"/>
  <c r="AA73" i="10"/>
  <c r="AB72" i="10" s="1"/>
  <c r="AE73" i="10"/>
  <c r="AB71" i="10"/>
  <c r="L121" i="10"/>
  <c r="M121" i="10"/>
  <c r="N121" i="10"/>
  <c r="M75" i="10"/>
  <c r="N75" i="10" l="1"/>
  <c r="Y74" i="10"/>
  <c r="AA74" i="10" l="1"/>
  <c r="AB74" i="10" s="1"/>
  <c r="AE74" i="10"/>
  <c r="G7" i="10" s="1"/>
  <c r="AB73" i="10" l="1"/>
  <c r="G6" i="10" s="1"/>
</calcChain>
</file>

<file path=xl/sharedStrings.xml><?xml version="1.0" encoding="utf-8"?>
<sst xmlns="http://schemas.openxmlformats.org/spreadsheetml/2006/main" count="169" uniqueCount="100">
  <si>
    <t>Datum</t>
  </si>
  <si>
    <r>
      <t>m</t>
    </r>
    <r>
      <rPr>
        <vertAlign val="superscript"/>
        <sz val="8"/>
        <rFont val="Arial"/>
        <family val="2"/>
      </rPr>
      <t>3</t>
    </r>
  </si>
  <si>
    <t>kWh</t>
  </si>
  <si>
    <r>
      <t>m</t>
    </r>
    <r>
      <rPr>
        <vertAlign val="superscript"/>
        <sz val="8"/>
        <rFont val="Arial"/>
        <family val="2"/>
      </rPr>
      <t>2</t>
    </r>
  </si>
  <si>
    <t>0.3</t>
  </si>
  <si>
    <t>Onderstaande bedragen bepalen de terugverdientijd</t>
  </si>
  <si>
    <t>Cum NCW referentie</t>
  </si>
  <si>
    <t>Cum NCW Duurzaam</t>
  </si>
  <si>
    <t>Verschil</t>
  </si>
  <si>
    <t>TVT</t>
  </si>
  <si>
    <t>Kasstroom referentie</t>
  </si>
  <si>
    <t>Kasstroom duurzaam</t>
  </si>
  <si>
    <t>Forschung Interreg VA-Projekt Heatlhy Building Network</t>
  </si>
  <si>
    <t>Projektname</t>
  </si>
  <si>
    <t>Projektnummer</t>
  </si>
  <si>
    <t>Teilprojekt</t>
  </si>
  <si>
    <t>Hinweis</t>
  </si>
  <si>
    <t>- Gesamtumfang des Gebäudes</t>
  </si>
  <si>
    <t>- Anzahl VZÄ</t>
  </si>
  <si>
    <t>Organisatorischer Gewinn</t>
  </si>
  <si>
    <t>Finanzielle Komponenten</t>
  </si>
  <si>
    <t>- Diskontierungszinssatz</t>
  </si>
  <si>
    <t>(fiktiver Gesamtumfang eines Bürogebäudes)</t>
  </si>
  <si>
    <t xml:space="preserve">Gewinn vor Zinsen und Steuern oder Gehaltskosten pro VZÄ </t>
  </si>
  <si>
    <t>Bemerkung</t>
  </si>
  <si>
    <t>Anzahl VZÄ (Vollzeitäquivalent) ist der Ausgangspunkt, Anzahl Arbeitsplätze wird errechnet</t>
  </si>
  <si>
    <t>Investitionskosten</t>
  </si>
  <si>
    <t>Indexierungsprozentsatz</t>
  </si>
  <si>
    <t>pro m² BGF</t>
  </si>
  <si>
    <t>Restwert</t>
  </si>
  <si>
    <t>- Wiederanschaffungskosten im Jahr</t>
  </si>
  <si>
    <t>zu</t>
  </si>
  <si>
    <t>von Investitionskosten</t>
  </si>
  <si>
    <t>Betriebskosten</t>
  </si>
  <si>
    <t>- Jährliche Wartungskosten</t>
  </si>
  <si>
    <t>- Reinigungskosten</t>
  </si>
  <si>
    <t>Verbrauch pro m² BGF</t>
  </si>
  <si>
    <t>Einheitskosten</t>
  </si>
  <si>
    <t>Einkommen aus Subventionen</t>
  </si>
  <si>
    <t>- Einmalige Subventionen</t>
  </si>
  <si>
    <t>im ersten Jahr</t>
  </si>
  <si>
    <t>- Jährliche Subventionen</t>
  </si>
  <si>
    <t>pro Jahr</t>
  </si>
  <si>
    <t>- Restwert ermitteln im Jahr</t>
  </si>
  <si>
    <t xml:space="preserve">Wiederanschaffungskosten beschreiben die Kosten die erneut investiert werden müssen. </t>
  </si>
  <si>
    <t>- Zusätzliche Anschaffungskosten im Jahr</t>
  </si>
  <si>
    <t>pro m² BGF pro Jahr</t>
  </si>
  <si>
    <t>- Gasverbrauch pro Jahr (für Heizung)</t>
  </si>
  <si>
    <t>gegenüber Referenzgebäude</t>
  </si>
  <si>
    <t>- Wasserverbrauch pro Jahr</t>
  </si>
  <si>
    <t>- Elektrizitätsverbrauch pro Jahr</t>
  </si>
  <si>
    <t>Amortisationszeit nachhaltige Anwendung (2):</t>
  </si>
  <si>
    <t>Jahr</t>
  </si>
  <si>
    <t>Basiert auf der Barwertmethode</t>
  </si>
  <si>
    <t>Jahre</t>
  </si>
  <si>
    <t>Investitions-kosten</t>
  </si>
  <si>
    <t>Reinigings-kosten</t>
  </si>
  <si>
    <t>Subventionen</t>
  </si>
  <si>
    <t>Produktivitäts-ertrag</t>
  </si>
  <si>
    <t xml:space="preserve">Restwert </t>
  </si>
  <si>
    <t>Cashflow</t>
  </si>
  <si>
    <t>- Kosten für Erdgas</t>
  </si>
  <si>
    <t>- Kosten für Trinkwasser</t>
  </si>
  <si>
    <t>- Kosten für Elektrizität</t>
  </si>
  <si>
    <t>- Wandlänge</t>
  </si>
  <si>
    <t>in Meter</t>
  </si>
  <si>
    <t>Annahme: pro 50 m² BGF 2,5 m Wandlänge von 2,00m Höhe.</t>
  </si>
  <si>
    <t>Preisniveau</t>
  </si>
  <si>
    <t>Version</t>
  </si>
  <si>
    <t>Übersicht Gebäude</t>
  </si>
  <si>
    <t>Wartungskosten</t>
  </si>
  <si>
    <t>1. Januar 2019</t>
  </si>
  <si>
    <t xml:space="preserve">Der Business Case ermöglicht es die Vorteile von nachhaltigen Gebäuden gegenüber eines Referenzgebäudes deutlich zu machen. Grün und blau markierte Felder müssen durch den Nutzer ausgefüllt werden. </t>
  </si>
  <si>
    <t>ohne MwSt.</t>
  </si>
  <si>
    <t>- Erstinvestitionskosten</t>
  </si>
  <si>
    <t>- Erwartete Produktivitätssteigerung (EBIT)</t>
  </si>
  <si>
    <t>Referenzmaßnahme (1)</t>
  </si>
  <si>
    <t>Nachhaltige Maßnahme (2)</t>
  </si>
  <si>
    <r>
      <rPr>
        <b/>
        <sz val="8"/>
        <color theme="1"/>
        <rFont val="Arial"/>
        <family val="2"/>
      </rPr>
      <t>Haftungsausschluss</t>
    </r>
    <r>
      <rPr>
        <sz val="8"/>
        <color theme="1"/>
        <rFont val="Arial"/>
        <family val="2"/>
      </rPr>
      <t>: Dies ist eine indikative Berechnung basierend auf dem niederländischen Preisniveau, daraus können keine Rechte abgeleitet werden. Alle Beträge verstehen sich exklusive Mehrwertsteuer.</t>
    </r>
  </si>
  <si>
    <t>8. Februar 2019</t>
  </si>
  <si>
    <t>Der Zinssatz mit dem die Zahlung abgezinst wird und der Barwert im ersten Jahr ermittelt werden kann.</t>
  </si>
  <si>
    <t>Unterschied im Cashflow (Nachhaltige Maßnahme gegenüber Referenzmaßnahme)</t>
  </si>
  <si>
    <t>Kosten für Gas/Wasser/ Elektrizität</t>
  </si>
  <si>
    <t>NPW</t>
  </si>
  <si>
    <t>Kum NPW</t>
  </si>
  <si>
    <t>Vergleich zwischen einer Referenzmaßnahme (1) und einer nachhaltigen Maßnahme (2)</t>
  </si>
  <si>
    <t xml:space="preserve">Im Arbeitsblatt 'Ergebnis' finden Sie eine Cashflow-Übersicht inklusive Amortisationsperiode und Amortisationszeitpunkt basierend auf der Barwertmethode. </t>
  </si>
  <si>
    <t>- Jährlicher Gewinn (EBIT) oder prozentualer Anteil der jährlichen Kosten für Gehälter</t>
  </si>
  <si>
    <t>Bei einer nachhaltigen Maßnahme</t>
  </si>
  <si>
    <t>(fiktive Anzahl VZÄ beim Gesamtumfang des Bürogebäudes)</t>
  </si>
  <si>
    <t xml:space="preserve">Nicht-kommerzielle Organisationen können einen fiktiven Prozentsatz annehmen (z.B. 3 - 5% des Gehaltes). 
</t>
  </si>
  <si>
    <t>- Laufzeit des Cashflowschemas und des Darlehens</t>
  </si>
  <si>
    <t>- Kosten für große Wartungsarbeiten / Renovierungen im Jahr:</t>
  </si>
  <si>
    <t>Positiver Cashflow für Referenzmaßnahme erreicht nach:</t>
  </si>
  <si>
    <t>Positiver Cashflow für nachhaltige Maßnahme erreicht nach:</t>
  </si>
  <si>
    <t>Jahren</t>
  </si>
  <si>
    <t>Es wird ausgegangen von 230 Photovoltaikzellen zu 310 WattPiek.</t>
  </si>
  <si>
    <t>Es wird von einer EIA Subvention ausgegangen (basiert auf niederländischen Marktverhältnissen.)</t>
  </si>
  <si>
    <t>Kosten für Elektrizität gemäß eines Kleinverbrauchanschlusses.</t>
  </si>
  <si>
    <t>Die Kosteneinsparungen von insgesamt €8.984 ergeben sich aus dem Vergleich zur Referenzmaßnahme.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</si>
</sst>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€&quot;\ #,##0_-;&quot;€&quot;\ #,##0\-"/>
    <numFmt numFmtId="44" formatCode="_-&quot;€&quot;\ * #,##0.00_-;_-&quot;€&quot;\ * #,##0.00\-;_-&quot;€&quot;\ * &quot;-&quot;??_-;_-@_-"/>
    <numFmt numFmtId="164" formatCode="[$-413]d/mmm/yy;@"/>
    <numFmt numFmtId="165" formatCode="_ [$€-413]\ * #,##0_ ;_ [$€-413]\ * \-#,##0_ ;_ [$€-413]\ * &quot;-&quot;??_ ;_ @_ "/>
    <numFmt numFmtId="166" formatCode="_ [$€-413]\ * #,##0_ ;_ [$€-413]\ * \-#,##0_ ;_ [$€-413]\ * &quot;-&quot;???_ ;_ @_ "/>
    <numFmt numFmtId="167" formatCode="0.0%"/>
    <numFmt numFmtId="168" formatCode="_-&quot;€&quot;\ * #,##0_-;_-&quot;€&quot;\ * #,##0\-;_-&quot;€&quot;\ * &quot;-&quot;??_-;_-@_-"/>
    <numFmt numFmtId="169" formatCode="0.0"/>
    <numFmt numFmtId="170" formatCode="_-&quot;€&quot;\ * #,##0.0_-;_-&quot;€&quot;\ * #,##0.0\-;_-&quot;€&quot;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Helv"/>
      <family val="2"/>
    </font>
    <font>
      <sz val="10"/>
      <name val="MS Sans Serif"/>
      <family val="2"/>
    </font>
    <font>
      <b/>
      <sz val="10"/>
      <color theme="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u/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8"/>
      <color rgb="FFFF0000"/>
      <name val="Arial"/>
      <family val="2"/>
    </font>
    <font>
      <vertAlign val="superscript"/>
      <sz val="8"/>
      <name val="Arial"/>
      <family val="2"/>
    </font>
    <font>
      <u/>
      <sz val="8"/>
      <color theme="1"/>
      <name val="Arial"/>
      <family val="2"/>
    </font>
    <font>
      <b/>
      <u/>
      <sz val="8"/>
      <name val="Arial"/>
      <family val="2"/>
    </font>
    <font>
      <sz val="8"/>
      <color rgb="FFFF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 applyFont="0" applyFill="0" applyBorder="0" applyAlignment="0" applyProtection="0"/>
    <xf numFmtId="3" fontId="2" fillId="0" borderId="0"/>
    <xf numFmtId="3" fontId="4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3">
    <xf numFmtId="0" fontId="0" fillId="0" borderId="0" xfId="0"/>
    <xf numFmtId="3" fontId="3" fillId="0" borderId="9" xfId="3" applyFont="1" applyBorder="1" applyAlignment="1">
      <alignment horizontal="center" vertical="center"/>
    </xf>
    <xf numFmtId="165" fontId="3" fillId="4" borderId="9" xfId="3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4" fontId="2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vertical="center"/>
    </xf>
    <xf numFmtId="3" fontId="3" fillId="0" borderId="0" xfId="2" applyFont="1" applyFill="1" applyBorder="1" applyAlignment="1">
      <alignment vertical="center"/>
    </xf>
    <xf numFmtId="3" fontId="8" fillId="2" borderId="1" xfId="2" applyFont="1" applyFill="1" applyBorder="1" applyAlignment="1" applyProtection="1">
      <alignment vertical="center"/>
    </xf>
    <xf numFmtId="3" fontId="3" fillId="2" borderId="2" xfId="2" applyFont="1" applyFill="1" applyBorder="1" applyAlignment="1">
      <alignment vertical="center"/>
    </xf>
    <xf numFmtId="3" fontId="3" fillId="2" borderId="2" xfId="2" applyFont="1" applyFill="1" applyBorder="1" applyAlignment="1" applyProtection="1">
      <alignment vertical="center"/>
    </xf>
    <xf numFmtId="164" fontId="8" fillId="2" borderId="2" xfId="2" applyNumberFormat="1" applyFont="1" applyFill="1" applyBorder="1" applyAlignment="1">
      <alignment horizontal="left" vertical="center"/>
    </xf>
    <xf numFmtId="164" fontId="3" fillId="2" borderId="3" xfId="2" applyNumberFormat="1" applyFont="1" applyFill="1" applyBorder="1" applyAlignment="1">
      <alignment horizontal="left" vertical="center"/>
    </xf>
    <xf numFmtId="3" fontId="8" fillId="2" borderId="4" xfId="2" applyFont="1" applyFill="1" applyBorder="1" applyAlignment="1" applyProtection="1">
      <alignment vertical="center"/>
    </xf>
    <xf numFmtId="3" fontId="3" fillId="2" borderId="0" xfId="2" applyFont="1" applyFill="1" applyBorder="1" applyAlignment="1">
      <alignment vertical="center"/>
    </xf>
    <xf numFmtId="0" fontId="3" fillId="2" borderId="0" xfId="2" applyNumberFormat="1" applyFont="1" applyFill="1" applyBorder="1" applyAlignment="1" applyProtection="1">
      <alignment horizontal="left" vertical="center"/>
    </xf>
    <xf numFmtId="164" fontId="8" fillId="2" borderId="0" xfId="2" applyNumberFormat="1" applyFont="1" applyFill="1" applyBorder="1" applyAlignment="1">
      <alignment horizontal="left" vertical="center"/>
    </xf>
    <xf numFmtId="1" fontId="3" fillId="2" borderId="5" xfId="2" quotePrefix="1" applyNumberFormat="1" applyFont="1" applyFill="1" applyBorder="1" applyAlignment="1">
      <alignment horizontal="left" vertical="center"/>
    </xf>
    <xf numFmtId="3" fontId="8" fillId="2" borderId="6" xfId="2" applyFont="1" applyFill="1" applyBorder="1" applyAlignment="1" applyProtection="1">
      <alignment vertical="center"/>
    </xf>
    <xf numFmtId="3" fontId="3" fillId="2" borderId="7" xfId="2" applyFont="1" applyFill="1" applyBorder="1" applyAlignment="1">
      <alignment vertical="center"/>
    </xf>
    <xf numFmtId="3" fontId="3" fillId="2" borderId="7" xfId="2" applyFont="1" applyFill="1" applyBorder="1" applyAlignment="1" applyProtection="1">
      <alignment vertical="center"/>
    </xf>
    <xf numFmtId="164" fontId="8" fillId="2" borderId="7" xfId="2" applyNumberFormat="1" applyFont="1" applyFill="1" applyBorder="1" applyAlignment="1">
      <alignment horizontal="left" vertical="center"/>
    </xf>
    <xf numFmtId="164" fontId="3" fillId="2" borderId="8" xfId="2" applyNumberFormat="1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3" fillId="0" borderId="9" xfId="3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10" xfId="0" applyFont="1" applyBorder="1" applyAlignment="1">
      <alignment vertical="center"/>
    </xf>
    <xf numFmtId="165" fontId="7" fillId="0" borderId="10" xfId="3" applyNumberFormat="1" applyFont="1" applyBorder="1" applyAlignment="1">
      <alignment vertical="center"/>
    </xf>
    <xf numFmtId="165" fontId="7" fillId="4" borderId="10" xfId="3" applyNumberFormat="1" applyFont="1" applyFill="1" applyBorder="1" applyAlignment="1">
      <alignment vertical="center"/>
    </xf>
    <xf numFmtId="165" fontId="7" fillId="5" borderId="10" xfId="3" applyNumberFormat="1" applyFont="1" applyFill="1" applyBorder="1" applyAlignment="1">
      <alignment vertical="center"/>
    </xf>
    <xf numFmtId="166" fontId="3" fillId="5" borderId="9" xfId="3" applyNumberFormat="1" applyFont="1" applyFill="1" applyBorder="1" applyAlignment="1">
      <alignment vertical="center"/>
    </xf>
    <xf numFmtId="3" fontId="2" fillId="0" borderId="0" xfId="3" applyFont="1" applyFill="1" applyAlignment="1">
      <alignment vertical="center"/>
    </xf>
    <xf numFmtId="168" fontId="3" fillId="0" borderId="9" xfId="1" applyNumberFormat="1" applyFont="1" applyBorder="1" applyAlignment="1">
      <alignment horizontal="center" vertical="center"/>
    </xf>
    <xf numFmtId="168" fontId="3" fillId="0" borderId="9" xfId="3" applyNumberFormat="1" applyFont="1" applyBorder="1" applyAlignment="1">
      <alignment horizontal="center" vertical="center"/>
    </xf>
    <xf numFmtId="168" fontId="3" fillId="0" borderId="4" xfId="1" applyNumberFormat="1" applyFont="1" applyBorder="1" applyAlignment="1">
      <alignment horizontal="center" vertical="center"/>
    </xf>
    <xf numFmtId="168" fontId="3" fillId="6" borderId="9" xfId="3" applyNumberFormat="1" applyFont="1" applyFill="1" applyBorder="1" applyAlignment="1">
      <alignment vertical="center"/>
    </xf>
    <xf numFmtId="168" fontId="3" fillId="6" borderId="4" xfId="3" applyNumberFormat="1" applyFont="1" applyFill="1" applyBorder="1" applyAlignment="1">
      <alignment vertical="center"/>
    </xf>
    <xf numFmtId="3" fontId="3" fillId="0" borderId="0" xfId="3" applyFont="1" applyBorder="1" applyAlignment="1">
      <alignment horizontal="center" vertical="center"/>
    </xf>
    <xf numFmtId="166" fontId="10" fillId="0" borderId="0" xfId="0" applyNumberFormat="1" applyFont="1" applyAlignment="1">
      <alignment vertical="center"/>
    </xf>
    <xf numFmtId="169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9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3" fillId="0" borderId="0" xfId="2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3" fontId="8" fillId="0" borderId="0" xfId="2" applyFont="1" applyFill="1" applyBorder="1" applyAlignment="1" applyProtection="1">
      <alignment vertical="center"/>
    </xf>
    <xf numFmtId="3" fontId="3" fillId="0" borderId="0" xfId="2" applyFont="1" applyFill="1" applyBorder="1" applyAlignment="1" applyProtection="1">
      <alignment vertical="center"/>
    </xf>
    <xf numFmtId="164" fontId="3" fillId="0" borderId="0" xfId="2" applyNumberFormat="1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3" fontId="3" fillId="0" borderId="0" xfId="2" applyFont="1" applyFill="1" applyBorder="1" applyAlignment="1">
      <alignment vertical="center"/>
    </xf>
    <xf numFmtId="0" fontId="9" fillId="0" borderId="0" xfId="0" applyFont="1" applyAlignment="1">
      <alignment vertical="center"/>
    </xf>
    <xf numFmtId="3" fontId="3" fillId="0" borderId="0" xfId="2" applyFont="1" applyFill="1" applyBorder="1" applyAlignment="1">
      <alignment vertical="center"/>
    </xf>
    <xf numFmtId="3" fontId="3" fillId="0" borderId="9" xfId="3" applyFont="1" applyBorder="1" applyAlignment="1">
      <alignment horizontal="center" vertical="center"/>
    </xf>
    <xf numFmtId="165" fontId="3" fillId="4" borderId="9" xfId="3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3" fontId="3" fillId="0" borderId="0" xfId="2" applyFont="1" applyFill="1" applyBorder="1" applyAlignment="1">
      <alignment vertical="center"/>
    </xf>
    <xf numFmtId="0" fontId="3" fillId="0" borderId="9" xfId="3" applyNumberFormat="1" applyFont="1" applyBorder="1" applyAlignment="1">
      <alignment horizontal="center" vertical="center"/>
    </xf>
    <xf numFmtId="166" fontId="3" fillId="5" borderId="9" xfId="3" applyNumberFormat="1" applyFont="1" applyFill="1" applyBorder="1" applyAlignment="1">
      <alignment vertical="center"/>
    </xf>
    <xf numFmtId="168" fontId="3" fillId="0" borderId="9" xfId="1" applyNumberFormat="1" applyFont="1" applyBorder="1" applyAlignment="1">
      <alignment horizontal="center" vertical="center"/>
    </xf>
    <xf numFmtId="168" fontId="3" fillId="0" borderId="9" xfId="3" applyNumberFormat="1" applyFont="1" applyBorder="1" applyAlignment="1">
      <alignment horizontal="center" vertical="center"/>
    </xf>
    <xf numFmtId="168" fontId="3" fillId="0" borderId="4" xfId="1" applyNumberFormat="1" applyFont="1" applyBorder="1" applyAlignment="1">
      <alignment horizontal="center" vertical="center"/>
    </xf>
    <xf numFmtId="168" fontId="3" fillId="6" borderId="4" xfId="3" applyNumberFormat="1" applyFont="1" applyFill="1" applyBorder="1" applyAlignment="1">
      <alignment vertical="center"/>
    </xf>
    <xf numFmtId="3" fontId="8" fillId="0" borderId="0" xfId="2" applyFont="1" applyFill="1" applyBorder="1" applyAlignment="1" applyProtection="1">
      <alignment vertical="center"/>
    </xf>
    <xf numFmtId="164" fontId="3" fillId="0" borderId="0" xfId="2" applyNumberFormat="1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3" fontId="3" fillId="0" borderId="0" xfId="2" applyFont="1" applyFill="1" applyBorder="1" applyAlignment="1">
      <alignment vertical="center"/>
    </xf>
    <xf numFmtId="0" fontId="10" fillId="0" borderId="0" xfId="0" applyFont="1" applyAlignment="1">
      <alignment vertical="center"/>
    </xf>
    <xf numFmtId="168" fontId="3" fillId="6" borderId="4" xfId="3" applyNumberFormat="1" applyFont="1" applyFill="1" applyBorder="1" applyAlignment="1">
      <alignment vertical="center"/>
    </xf>
    <xf numFmtId="168" fontId="10" fillId="0" borderId="0" xfId="0" applyNumberFormat="1" applyFont="1" applyAlignment="1">
      <alignment vertical="center"/>
    </xf>
    <xf numFmtId="168" fontId="10" fillId="0" borderId="10" xfId="0" applyNumberFormat="1" applyFont="1" applyBorder="1" applyAlignment="1">
      <alignment vertical="center"/>
    </xf>
    <xf numFmtId="168" fontId="10" fillId="6" borderId="9" xfId="0" applyNumberFormat="1" applyFont="1" applyFill="1" applyBorder="1" applyAlignment="1">
      <alignment vertical="center"/>
    </xf>
    <xf numFmtId="168" fontId="10" fillId="6" borderId="15" xfId="0" applyNumberFormat="1" applyFont="1" applyFill="1" applyBorder="1" applyAlignment="1">
      <alignment vertical="center"/>
    </xf>
    <xf numFmtId="0" fontId="9" fillId="6" borderId="14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3" fontId="3" fillId="0" borderId="0" xfId="2" applyFont="1" applyFill="1" applyBorder="1" applyAlignment="1">
      <alignment vertical="center"/>
    </xf>
    <xf numFmtId="168" fontId="3" fillId="0" borderId="9" xfId="3" applyNumberFormat="1" applyFont="1" applyBorder="1" applyAlignment="1">
      <alignment horizontal="center" vertical="center"/>
    </xf>
    <xf numFmtId="168" fontId="3" fillId="6" borderId="4" xfId="3" applyNumberFormat="1" applyFont="1" applyFill="1" applyBorder="1" applyAlignment="1">
      <alignment vertical="center"/>
    </xf>
    <xf numFmtId="0" fontId="14" fillId="0" borderId="0" xfId="0" quotePrefix="1" applyFont="1" applyAlignment="1">
      <alignment vertical="center"/>
    </xf>
    <xf numFmtId="44" fontId="10" fillId="6" borderId="9" xfId="0" applyNumberFormat="1" applyFont="1" applyFill="1" applyBorder="1" applyAlignment="1">
      <alignment vertical="center"/>
    </xf>
    <xf numFmtId="44" fontId="10" fillId="6" borderId="15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3" fontId="19" fillId="0" borderId="0" xfId="2" applyFont="1" applyFill="1" applyBorder="1" applyAlignment="1">
      <alignment vertical="center"/>
    </xf>
    <xf numFmtId="3" fontId="15" fillId="0" borderId="0" xfId="2" applyFont="1" applyFill="1" applyBorder="1" applyAlignment="1" applyProtection="1">
      <alignment vertical="center"/>
    </xf>
    <xf numFmtId="0" fontId="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9" fontId="12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3" fontId="8" fillId="2" borderId="2" xfId="2" applyFont="1" applyFill="1" applyBorder="1" applyAlignment="1">
      <alignment vertical="center"/>
    </xf>
    <xf numFmtId="3" fontId="8" fillId="2" borderId="0" xfId="2" applyFont="1" applyFill="1" applyBorder="1" applyAlignment="1">
      <alignment vertical="center"/>
    </xf>
    <xf numFmtId="3" fontId="8" fillId="2" borderId="7" xfId="2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/>
    <xf numFmtId="0" fontId="9" fillId="0" borderId="0" xfId="0" applyFont="1" applyAlignment="1">
      <alignment vertical="center"/>
    </xf>
    <xf numFmtId="3" fontId="3" fillId="0" borderId="0" xfId="2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" fontId="10" fillId="0" borderId="0" xfId="0" quotePrefix="1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left" vertical="center"/>
    </xf>
    <xf numFmtId="4" fontId="8" fillId="0" borderId="0" xfId="0" applyNumberFormat="1" applyFont="1" applyFill="1" applyBorder="1" applyAlignment="1">
      <alignment horizontal="right" vertical="center"/>
    </xf>
    <xf numFmtId="5" fontId="7" fillId="0" borderId="0" xfId="1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Alignment="1">
      <alignment vertical="center"/>
    </xf>
    <xf numFmtId="44" fontId="10" fillId="0" borderId="0" xfId="1" applyNumberFormat="1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3" fontId="8" fillId="0" borderId="0" xfId="2" applyFont="1" applyFill="1" applyBorder="1" applyAlignment="1" applyProtection="1">
      <alignment vertical="center"/>
    </xf>
    <xf numFmtId="3" fontId="3" fillId="0" borderId="0" xfId="2" applyFont="1" applyFill="1" applyBorder="1" applyAlignment="1" applyProtection="1">
      <alignment vertical="center"/>
    </xf>
    <xf numFmtId="0" fontId="14" fillId="0" borderId="0" xfId="0" applyFont="1" applyAlignment="1">
      <alignment vertical="center"/>
    </xf>
    <xf numFmtId="3" fontId="3" fillId="0" borderId="2" xfId="2" applyFont="1" applyFill="1" applyBorder="1" applyAlignment="1">
      <alignment vertical="center"/>
    </xf>
    <xf numFmtId="3" fontId="3" fillId="0" borderId="2" xfId="2" applyFont="1" applyFill="1" applyBorder="1" applyAlignment="1" applyProtection="1">
      <alignment vertical="center"/>
    </xf>
    <xf numFmtId="3" fontId="8" fillId="0" borderId="6" xfId="2" applyFont="1" applyFill="1" applyBorder="1" applyAlignment="1" applyProtection="1">
      <alignment vertical="center"/>
    </xf>
    <xf numFmtId="3" fontId="3" fillId="0" borderId="7" xfId="2" applyFont="1" applyFill="1" applyBorder="1" applyAlignment="1">
      <alignment vertical="center"/>
    </xf>
    <xf numFmtId="3" fontId="3" fillId="0" borderId="7" xfId="2" applyFont="1" applyFill="1" applyBorder="1" applyAlignment="1" applyProtection="1">
      <alignment vertical="center"/>
    </xf>
    <xf numFmtId="0" fontId="10" fillId="0" borderId="11" xfId="0" applyFont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168" fontId="10" fillId="0" borderId="12" xfId="1" applyNumberFormat="1" applyFont="1" applyFill="1" applyBorder="1" applyAlignment="1">
      <alignment vertical="center"/>
    </xf>
    <xf numFmtId="44" fontId="10" fillId="0" borderId="12" xfId="1" applyNumberFormat="1" applyFont="1" applyFill="1" applyBorder="1" applyAlignment="1">
      <alignment vertical="center"/>
    </xf>
    <xf numFmtId="44" fontId="7" fillId="0" borderId="12" xfId="1" applyNumberFormat="1" applyFont="1" applyFill="1" applyBorder="1" applyAlignment="1">
      <alignment horizontal="right" vertical="center"/>
    </xf>
    <xf numFmtId="0" fontId="9" fillId="0" borderId="12" xfId="0" applyFont="1" applyBorder="1" applyAlignment="1">
      <alignment vertical="center"/>
    </xf>
    <xf numFmtId="4" fontId="8" fillId="0" borderId="12" xfId="0" applyNumberFormat="1" applyFont="1" applyFill="1" applyBorder="1" applyAlignment="1">
      <alignment horizontal="right" vertical="center"/>
    </xf>
    <xf numFmtId="4" fontId="10" fillId="0" borderId="13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4" fontId="15" fillId="0" borderId="12" xfId="0" applyNumberFormat="1" applyFont="1" applyFill="1" applyBorder="1" applyAlignment="1">
      <alignment horizontal="right" vertical="center"/>
    </xf>
    <xf numFmtId="0" fontId="9" fillId="0" borderId="13" xfId="0" applyFont="1" applyFill="1" applyBorder="1" applyAlignment="1">
      <alignment vertical="center"/>
    </xf>
    <xf numFmtId="3" fontId="3" fillId="0" borderId="0" xfId="2" applyFont="1" applyFill="1" applyBorder="1" applyAlignment="1">
      <alignment horizontal="left" vertical="center" indent="1"/>
    </xf>
    <xf numFmtId="168" fontId="3" fillId="0" borderId="12" xfId="1" applyNumberFormat="1" applyFont="1" applyFill="1" applyBorder="1" applyAlignment="1">
      <alignment vertical="center"/>
    </xf>
    <xf numFmtId="168" fontId="10" fillId="0" borderId="12" xfId="0" applyNumberFormat="1" applyFont="1" applyFill="1" applyBorder="1" applyAlignment="1">
      <alignment vertical="center"/>
    </xf>
    <xf numFmtId="3" fontId="3" fillId="0" borderId="11" xfId="2" applyFont="1" applyFill="1" applyBorder="1" applyAlignment="1">
      <alignment vertical="center"/>
    </xf>
    <xf numFmtId="3" fontId="3" fillId="0" borderId="12" xfId="2" applyFont="1" applyFill="1" applyBorder="1" applyAlignment="1">
      <alignment vertical="center"/>
    </xf>
    <xf numFmtId="164" fontId="8" fillId="0" borderId="0" xfId="2" applyNumberFormat="1" applyFont="1" applyFill="1" applyBorder="1" applyAlignment="1">
      <alignment horizontal="left" vertical="center" wrapText="1"/>
    </xf>
    <xf numFmtId="3" fontId="3" fillId="0" borderId="6" xfId="2" applyFont="1" applyFill="1" applyBorder="1" applyAlignment="1" applyProtection="1">
      <alignment vertical="center"/>
    </xf>
    <xf numFmtId="164" fontId="8" fillId="0" borderId="7" xfId="2" applyNumberFormat="1" applyFont="1" applyFill="1" applyBorder="1" applyAlignment="1">
      <alignment horizontal="left" vertical="center" wrapText="1"/>
    </xf>
    <xf numFmtId="164" fontId="8" fillId="0" borderId="2" xfId="2" applyNumberFormat="1" applyFont="1" applyFill="1" applyBorder="1" applyAlignment="1">
      <alignment horizontal="left" vertical="center" wrapText="1"/>
    </xf>
    <xf numFmtId="164" fontId="3" fillId="0" borderId="8" xfId="2" applyNumberFormat="1" applyFont="1" applyFill="1" applyBorder="1" applyAlignment="1">
      <alignment horizontal="left" vertical="center"/>
    </xf>
    <xf numFmtId="164" fontId="3" fillId="0" borderId="5" xfId="2" applyNumberFormat="1" applyFont="1" applyFill="1" applyBorder="1" applyAlignment="1">
      <alignment horizontal="left" vertical="center"/>
    </xf>
    <xf numFmtId="164" fontId="3" fillId="0" borderId="3" xfId="2" applyNumberFormat="1" applyFont="1" applyFill="1" applyBorder="1" applyAlignment="1">
      <alignment horizontal="left" vertical="center"/>
    </xf>
    <xf numFmtId="0" fontId="14" fillId="0" borderId="12" xfId="0" applyFont="1" applyFill="1" applyBorder="1" applyAlignment="1">
      <alignment vertical="center"/>
    </xf>
    <xf numFmtId="168" fontId="3" fillId="0" borderId="12" xfId="2" applyNumberFormat="1" applyFont="1" applyFill="1" applyBorder="1" applyAlignment="1">
      <alignment horizontal="left" vertical="center"/>
    </xf>
    <xf numFmtId="3" fontId="3" fillId="0" borderId="13" xfId="2" applyFont="1" applyFill="1" applyBorder="1" applyAlignment="1">
      <alignment vertical="center"/>
    </xf>
    <xf numFmtId="0" fontId="9" fillId="0" borderId="0" xfId="0" applyNumberFormat="1" applyFont="1" applyAlignment="1">
      <alignment vertical="center"/>
    </xf>
    <xf numFmtId="3" fontId="3" fillId="0" borderId="0" xfId="2" applyFont="1" applyFill="1" applyBorder="1" applyAlignment="1">
      <alignment vertical="center"/>
    </xf>
    <xf numFmtId="3" fontId="3" fillId="2" borderId="2" xfId="2" applyFont="1" applyFill="1" applyBorder="1" applyAlignment="1">
      <alignment vertical="center"/>
    </xf>
    <xf numFmtId="3" fontId="3" fillId="2" borderId="2" xfId="2" applyFont="1" applyFill="1" applyBorder="1" applyAlignment="1" applyProtection="1">
      <alignment vertical="center"/>
    </xf>
    <xf numFmtId="164" fontId="3" fillId="2" borderId="3" xfId="2" applyNumberFormat="1" applyFont="1" applyFill="1" applyBorder="1" applyAlignment="1">
      <alignment horizontal="left" vertical="center"/>
    </xf>
    <xf numFmtId="3" fontId="3" fillId="2" borderId="0" xfId="2" applyFont="1" applyFill="1" applyBorder="1" applyAlignment="1">
      <alignment vertical="center"/>
    </xf>
    <xf numFmtId="49" fontId="3" fillId="2" borderId="0" xfId="2" applyNumberFormat="1" applyFont="1" applyFill="1" applyBorder="1" applyAlignment="1" applyProtection="1">
      <alignment vertical="center"/>
    </xf>
    <xf numFmtId="1" fontId="3" fillId="2" borderId="5" xfId="2" quotePrefix="1" applyNumberFormat="1" applyFont="1" applyFill="1" applyBorder="1" applyAlignment="1">
      <alignment horizontal="left" vertical="center"/>
    </xf>
    <xf numFmtId="3" fontId="3" fillId="2" borderId="7" xfId="2" applyFont="1" applyFill="1" applyBorder="1" applyAlignment="1">
      <alignment vertical="center"/>
    </xf>
    <xf numFmtId="3" fontId="3" fillId="2" borderId="7" xfId="2" applyFont="1" applyFill="1" applyBorder="1" applyAlignment="1" applyProtection="1">
      <alignment vertical="center"/>
    </xf>
    <xf numFmtId="164" fontId="3" fillId="2" borderId="8" xfId="2" applyNumberFormat="1" applyFont="1" applyFill="1" applyBorder="1" applyAlignment="1">
      <alignment horizontal="left" vertical="center"/>
    </xf>
    <xf numFmtId="3" fontId="3" fillId="0" borderId="0" xfId="2" applyFont="1" applyFill="1" applyBorder="1" applyAlignment="1" applyProtection="1">
      <alignment vertical="center"/>
    </xf>
    <xf numFmtId="164" fontId="3" fillId="0" borderId="0" xfId="2" applyNumberFormat="1" applyFont="1" applyFill="1" applyBorder="1" applyAlignment="1">
      <alignment horizontal="left" vertical="center"/>
    </xf>
    <xf numFmtId="164" fontId="8" fillId="2" borderId="2" xfId="2" applyNumberFormat="1" applyFont="1" applyFill="1" applyBorder="1" applyAlignment="1">
      <alignment horizontal="left" vertical="center" wrapText="1"/>
    </xf>
    <xf numFmtId="164" fontId="8" fillId="2" borderId="0" xfId="2" applyNumberFormat="1" applyFont="1" applyFill="1" applyBorder="1" applyAlignment="1">
      <alignment horizontal="left" vertical="center" wrapText="1"/>
    </xf>
    <xf numFmtId="164" fontId="8" fillId="2" borderId="7" xfId="2" applyNumberFormat="1" applyFont="1" applyFill="1" applyBorder="1" applyAlignment="1">
      <alignment horizontal="left" vertical="center" wrapText="1"/>
    </xf>
    <xf numFmtId="164" fontId="8" fillId="0" borderId="0" xfId="2" applyNumberFormat="1" applyFont="1" applyFill="1" applyBorder="1" applyAlignment="1">
      <alignment horizontal="left" vertical="center" wrapText="1"/>
    </xf>
    <xf numFmtId="3" fontId="19" fillId="0" borderId="0" xfId="2" applyFont="1" applyFill="1" applyBorder="1" applyAlignment="1" applyProtection="1">
      <alignment vertical="center"/>
    </xf>
    <xf numFmtId="164" fontId="15" fillId="0" borderId="0" xfId="2" applyNumberFormat="1" applyFont="1" applyFill="1" applyBorder="1" applyAlignment="1">
      <alignment horizontal="left" vertical="center" wrapText="1"/>
    </xf>
    <xf numFmtId="164" fontId="19" fillId="0" borderId="7" xfId="2" applyNumberFormat="1" applyFont="1" applyFill="1" applyBorder="1" applyAlignment="1">
      <alignment horizontal="left" vertical="center"/>
    </xf>
    <xf numFmtId="3" fontId="3" fillId="0" borderId="21" xfId="2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left" vertical="center"/>
    </xf>
    <xf numFmtId="164" fontId="8" fillId="0" borderId="0" xfId="2" applyNumberFormat="1" applyFont="1" applyFill="1" applyBorder="1" applyAlignment="1">
      <alignment horizontal="left" vertical="center" wrapText="1"/>
    </xf>
    <xf numFmtId="167" fontId="10" fillId="0" borderId="0" xfId="0" applyNumberFormat="1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vertical="center"/>
    </xf>
    <xf numFmtId="164" fontId="3" fillId="0" borderId="2" xfId="2" applyNumberFormat="1" applyFont="1" applyFill="1" applyBorder="1" applyAlignment="1">
      <alignment horizontal="left" vertical="center"/>
    </xf>
    <xf numFmtId="3" fontId="3" fillId="2" borderId="2" xfId="2" applyFont="1" applyFill="1" applyBorder="1" applyAlignment="1" applyProtection="1">
      <alignment vertical="center"/>
    </xf>
    <xf numFmtId="0" fontId="3" fillId="2" borderId="0" xfId="2" applyNumberFormat="1" applyFont="1" applyFill="1" applyBorder="1" applyAlignment="1" applyProtection="1">
      <alignment horizontal="left" vertical="center"/>
    </xf>
    <xf numFmtId="3" fontId="3" fillId="2" borderId="7" xfId="2" applyFont="1" applyFill="1" applyBorder="1" applyAlignment="1" applyProtection="1">
      <alignment vertical="center"/>
    </xf>
    <xf numFmtId="3" fontId="8" fillId="2" borderId="2" xfId="2" applyFont="1" applyFill="1" applyBorder="1" applyAlignment="1" applyProtection="1">
      <alignment vertical="center"/>
    </xf>
    <xf numFmtId="3" fontId="8" fillId="2" borderId="0" xfId="2" applyFont="1" applyFill="1" applyBorder="1" applyAlignment="1" applyProtection="1">
      <alignment vertical="center"/>
    </xf>
    <xf numFmtId="3" fontId="8" fillId="2" borderId="7" xfId="2" applyFont="1" applyFill="1" applyBorder="1" applyAlignment="1" applyProtection="1">
      <alignment vertical="center"/>
    </xf>
    <xf numFmtId="3" fontId="3" fillId="0" borderId="0" xfId="2" applyFont="1" applyFill="1" applyBorder="1" applyAlignment="1" applyProtection="1">
      <alignment vertical="center"/>
    </xf>
    <xf numFmtId="3" fontId="18" fillId="0" borderId="2" xfId="2" applyFont="1" applyFill="1" applyBorder="1" applyAlignment="1" applyProtection="1">
      <alignment vertical="center"/>
    </xf>
    <xf numFmtId="3" fontId="3" fillId="0" borderId="4" xfId="2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vertical="center"/>
    </xf>
    <xf numFmtId="3" fontId="3" fillId="0" borderId="4" xfId="2" quotePrefix="1" applyFont="1" applyFill="1" applyBorder="1" applyAlignment="1" applyProtection="1">
      <alignment vertical="center"/>
    </xf>
    <xf numFmtId="3" fontId="8" fillId="0" borderId="1" xfId="2" applyFont="1" applyFill="1" applyBorder="1" applyAlignment="1" applyProtection="1">
      <alignment vertical="center"/>
    </xf>
    <xf numFmtId="3" fontId="8" fillId="0" borderId="4" xfId="2" applyFont="1" applyFill="1" applyBorder="1" applyAlignment="1" applyProtection="1">
      <alignment vertical="center"/>
    </xf>
    <xf numFmtId="4" fontId="10" fillId="0" borderId="4" xfId="0" quotePrefix="1" applyNumberFormat="1" applyFont="1" applyFill="1" applyBorder="1" applyAlignment="1">
      <alignment vertical="center"/>
    </xf>
    <xf numFmtId="3" fontId="18" fillId="0" borderId="2" xfId="2" applyFont="1" applyFill="1" applyBorder="1" applyAlignment="1">
      <alignment vertical="center"/>
    </xf>
    <xf numFmtId="3" fontId="3" fillId="0" borderId="0" xfId="2" applyFont="1" applyFill="1" applyBorder="1" applyAlignment="1">
      <alignment vertical="center"/>
    </xf>
    <xf numFmtId="4" fontId="3" fillId="0" borderId="0" xfId="0" applyNumberFormat="1" applyFont="1" applyFill="1" applyBorder="1" applyAlignment="1" applyProtection="1">
      <alignment vertical="center"/>
    </xf>
    <xf numFmtId="164" fontId="3" fillId="0" borderId="3" xfId="2" applyNumberFormat="1" applyFont="1" applyFill="1" applyBorder="1" applyAlignment="1">
      <alignment horizontal="left" vertical="center"/>
    </xf>
    <xf numFmtId="0" fontId="0" fillId="0" borderId="0" xfId="0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3" fontId="11" fillId="0" borderId="0" xfId="0" applyNumberFormat="1" applyFont="1" applyFill="1" applyBorder="1" applyAlignment="1">
      <alignment horizontal="left" vertical="center"/>
    </xf>
    <xf numFmtId="167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1" applyNumberFormat="1" applyFont="1" applyFill="1" applyBorder="1" applyAlignment="1">
      <alignment vertical="center"/>
    </xf>
    <xf numFmtId="44" fontId="10" fillId="0" borderId="0" xfId="1" applyNumberFormat="1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4" fontId="3" fillId="0" borderId="4" xfId="0" quotePrefix="1" applyNumberFormat="1" applyFont="1" applyFill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4" xfId="0" quotePrefix="1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68" fontId="10" fillId="0" borderId="0" xfId="1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168" fontId="10" fillId="0" borderId="0" xfId="0" applyNumberFormat="1" applyFont="1" applyFill="1" applyBorder="1" applyAlignment="1">
      <alignment vertical="center"/>
    </xf>
    <xf numFmtId="0" fontId="10" fillId="0" borderId="4" xfId="0" quotePrefix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left" vertical="center" indent="1"/>
    </xf>
    <xf numFmtId="9" fontId="10" fillId="0" borderId="0" xfId="0" applyNumberFormat="1" applyFont="1" applyFill="1" applyAlignment="1">
      <alignment vertical="center"/>
    </xf>
    <xf numFmtId="167" fontId="10" fillId="0" borderId="0" xfId="0" applyNumberFormat="1" applyFont="1" applyFill="1" applyAlignment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10" fillId="0" borderId="4" xfId="0" quotePrefix="1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4" fontId="3" fillId="0" borderId="4" xfId="0" quotePrefix="1" applyNumberFormat="1" applyFont="1" applyFill="1" applyBorder="1" applyAlignment="1" applyProtection="1">
      <alignment horizontal="left" vertical="center"/>
    </xf>
    <xf numFmtId="0" fontId="20" fillId="0" borderId="1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3" fontId="11" fillId="0" borderId="0" xfId="0" applyNumberFormat="1" applyFont="1" applyFill="1" applyBorder="1" applyAlignment="1" applyProtection="1">
      <alignment horizontal="left" vertical="center"/>
    </xf>
    <xf numFmtId="0" fontId="17" fillId="0" borderId="0" xfId="0" applyFont="1" applyBorder="1" applyAlignment="1" applyProtection="1">
      <alignment vertical="center"/>
    </xf>
    <xf numFmtId="4" fontId="10" fillId="0" borderId="4" xfId="0" quotePrefix="1" applyNumberFormat="1" applyFont="1" applyFill="1" applyBorder="1" applyAlignment="1" applyProtection="1">
      <alignment vertical="center"/>
    </xf>
    <xf numFmtId="4" fontId="3" fillId="0" borderId="0" xfId="0" applyNumberFormat="1" applyFont="1" applyFill="1" applyBorder="1" applyAlignment="1" applyProtection="1">
      <alignment horizontal="left" vertical="center" indent="1"/>
    </xf>
    <xf numFmtId="0" fontId="10" fillId="0" borderId="0" xfId="0" applyFont="1" applyFill="1" applyBorder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11" fillId="0" borderId="22" xfId="0" applyFont="1" applyBorder="1" applyAlignment="1" applyProtection="1">
      <alignment vertical="center" wrapText="1"/>
    </xf>
    <xf numFmtId="0" fontId="0" fillId="0" borderId="0" xfId="0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Alignment="1">
      <alignment vertical="center"/>
    </xf>
    <xf numFmtId="3" fontId="11" fillId="0" borderId="0" xfId="0" applyNumberFormat="1" applyFont="1" applyFill="1" applyBorder="1" applyAlignment="1">
      <alignment horizontal="left" vertical="center"/>
    </xf>
    <xf numFmtId="167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1" applyNumberFormat="1" applyFont="1" applyFill="1" applyBorder="1" applyAlignment="1">
      <alignment vertical="center"/>
    </xf>
    <xf numFmtId="44" fontId="10" fillId="0" borderId="0" xfId="1" applyNumberFormat="1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4" fontId="3" fillId="0" borderId="4" xfId="0" quotePrefix="1" applyNumberFormat="1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4" xfId="0" quotePrefix="1" applyFont="1" applyBorder="1" applyAlignment="1">
      <alignment vertical="center"/>
    </xf>
    <xf numFmtId="167" fontId="10" fillId="0" borderId="0" xfId="5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10" fillId="0" borderId="4" xfId="0" quotePrefix="1" applyFont="1" applyFill="1" applyBorder="1" applyAlignment="1">
      <alignment vertical="center"/>
    </xf>
    <xf numFmtId="0" fontId="0" fillId="0" borderId="0" xfId="0" applyFill="1"/>
    <xf numFmtId="0" fontId="14" fillId="0" borderId="0" xfId="0" applyFont="1" applyFill="1" applyAlignment="1">
      <alignment vertical="center"/>
    </xf>
    <xf numFmtId="4" fontId="3" fillId="0" borderId="0" xfId="0" applyNumberFormat="1" applyFont="1" applyFill="1" applyBorder="1" applyAlignment="1">
      <alignment horizontal="left" vertical="center" indent="1"/>
    </xf>
    <xf numFmtId="0" fontId="9" fillId="0" borderId="12" xfId="0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9" fontId="10" fillId="0" borderId="0" xfId="0" applyNumberFormat="1" applyFont="1" applyFill="1" applyAlignment="1">
      <alignment vertical="center"/>
    </xf>
    <xf numFmtId="0" fontId="10" fillId="0" borderId="4" xfId="0" quotePrefix="1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4" fontId="3" fillId="0" borderId="4" xfId="0" quotePrefix="1" applyNumberFormat="1" applyFont="1" applyFill="1" applyBorder="1" applyAlignment="1" applyProtection="1">
      <alignment horizontal="left" vertical="center"/>
    </xf>
    <xf numFmtId="0" fontId="20" fillId="0" borderId="1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3" fontId="11" fillId="0" borderId="0" xfId="0" applyNumberFormat="1" applyFont="1" applyFill="1" applyBorder="1" applyAlignment="1" applyProtection="1">
      <alignment horizontal="left" vertical="center"/>
    </xf>
    <xf numFmtId="4" fontId="10" fillId="0" borderId="4" xfId="0" quotePrefix="1" applyNumberFormat="1" applyFont="1" applyFill="1" applyBorder="1" applyAlignment="1" applyProtection="1">
      <alignment vertical="center"/>
    </xf>
    <xf numFmtId="4" fontId="3" fillId="0" borderId="0" xfId="0" applyNumberFormat="1" applyFont="1" applyFill="1" applyBorder="1" applyAlignment="1" applyProtection="1">
      <alignment horizontal="left" vertical="center" indent="1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9" fillId="0" borderId="3" xfId="0" applyFont="1" applyFill="1" applyBorder="1" applyAlignment="1">
      <alignment vertical="center"/>
    </xf>
    <xf numFmtId="0" fontId="11" fillId="0" borderId="22" xfId="0" applyFont="1" applyBorder="1" applyAlignment="1" applyProtection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3" fillId="0" borderId="0" xfId="2" applyFont="1" applyFill="1" applyBorder="1" applyAlignment="1" applyProtection="1">
      <alignment vertical="center"/>
    </xf>
    <xf numFmtId="3" fontId="7" fillId="0" borderId="10" xfId="3" applyFont="1" applyBorder="1" applyAlignment="1">
      <alignment horizontal="center" vertical="center" wrapText="1"/>
    </xf>
    <xf numFmtId="3" fontId="7" fillId="4" borderId="10" xfId="3" applyFont="1" applyFill="1" applyBorder="1" applyAlignment="1">
      <alignment horizontal="center" vertical="center" wrapText="1"/>
    </xf>
    <xf numFmtId="3" fontId="7" fillId="5" borderId="10" xfId="3" applyFont="1" applyFill="1" applyBorder="1" applyAlignment="1">
      <alignment horizontal="center" vertical="center" wrapText="1"/>
    </xf>
    <xf numFmtId="3" fontId="7" fillId="6" borderId="10" xfId="3" applyFont="1" applyFill="1" applyBorder="1" applyAlignment="1">
      <alignment horizontal="center" vertical="center" wrapText="1"/>
    </xf>
    <xf numFmtId="3" fontId="7" fillId="0" borderId="10" xfId="3" applyFont="1" applyBorder="1" applyAlignment="1">
      <alignment horizontal="center" vertical="center" wrapText="1"/>
    </xf>
    <xf numFmtId="3" fontId="7" fillId="5" borderId="10" xfId="3" applyFont="1" applyFill="1" applyBorder="1" applyAlignment="1">
      <alignment horizontal="center" vertical="center" wrapText="1"/>
    </xf>
    <xf numFmtId="3" fontId="7" fillId="6" borderId="10" xfId="3" applyFont="1" applyFill="1" applyBorder="1" applyAlignment="1">
      <alignment horizontal="center" vertical="center" wrapText="1"/>
    </xf>
    <xf numFmtId="44" fontId="10" fillId="3" borderId="0" xfId="1" applyNumberFormat="1" applyFont="1" applyFill="1" applyBorder="1" applyAlignment="1" applyProtection="1">
      <alignment horizontal="right" vertical="center"/>
      <protection locked="0"/>
    </xf>
    <xf numFmtId="0" fontId="10" fillId="3" borderId="0" xfId="0" applyFont="1" applyFill="1" applyBorder="1" applyAlignment="1" applyProtection="1">
      <alignment vertical="center"/>
      <protection locked="0"/>
    </xf>
    <xf numFmtId="9" fontId="10" fillId="3" borderId="0" xfId="0" applyNumberFormat="1" applyFont="1" applyFill="1" applyAlignment="1" applyProtection="1">
      <alignment vertical="center"/>
      <protection locked="0"/>
    </xf>
    <xf numFmtId="170" fontId="3" fillId="3" borderId="0" xfId="0" applyNumberFormat="1" applyFont="1" applyFill="1" applyAlignment="1" applyProtection="1">
      <alignment vertical="center"/>
      <protection locked="0"/>
    </xf>
    <xf numFmtId="0" fontId="3" fillId="3" borderId="0" xfId="1" applyNumberFormat="1" applyFont="1" applyFill="1" applyBorder="1" applyAlignment="1" applyProtection="1">
      <alignment vertical="center"/>
      <protection locked="0"/>
    </xf>
    <xf numFmtId="44" fontId="3" fillId="3" borderId="0" xfId="0" applyNumberFormat="1" applyFont="1" applyFill="1" applyAlignment="1" applyProtection="1">
      <alignment vertical="center"/>
      <protection locked="0"/>
    </xf>
    <xf numFmtId="0" fontId="10" fillId="3" borderId="0" xfId="1" applyNumberFormat="1" applyFont="1" applyFill="1" applyBorder="1" applyAlignment="1" applyProtection="1">
      <alignment vertical="center"/>
      <protection locked="0"/>
    </xf>
    <xf numFmtId="167" fontId="10" fillId="7" borderId="0" xfId="0" applyNumberFormat="1" applyFont="1" applyFill="1" applyBorder="1" applyAlignment="1" applyProtection="1">
      <alignment horizontal="center" vertical="center"/>
      <protection locked="0"/>
    </xf>
    <xf numFmtId="44" fontId="10" fillId="7" borderId="0" xfId="1" applyNumberFormat="1" applyFont="1" applyFill="1" applyBorder="1" applyAlignment="1" applyProtection="1">
      <alignment horizontal="right" vertical="center"/>
      <protection locked="0"/>
    </xf>
    <xf numFmtId="0" fontId="10" fillId="7" borderId="0" xfId="0" applyFont="1" applyFill="1" applyBorder="1" applyAlignment="1" applyProtection="1">
      <alignment vertical="center"/>
      <protection locked="0"/>
    </xf>
    <xf numFmtId="0" fontId="10" fillId="7" borderId="0" xfId="0" applyFont="1" applyFill="1" applyAlignment="1" applyProtection="1">
      <alignment vertical="center"/>
      <protection locked="0"/>
    </xf>
    <xf numFmtId="44" fontId="3" fillId="7" borderId="0" xfId="1" applyNumberFormat="1" applyFont="1" applyFill="1" applyBorder="1" applyAlignment="1" applyProtection="1">
      <alignment vertical="center"/>
      <protection locked="0"/>
    </xf>
    <xf numFmtId="167" fontId="10" fillId="7" borderId="0" xfId="5" applyNumberFormat="1" applyFont="1" applyFill="1" applyBorder="1" applyAlignment="1" applyProtection="1">
      <alignment horizontal="center" vertical="center"/>
      <protection locked="0"/>
    </xf>
    <xf numFmtId="9" fontId="10" fillId="7" borderId="0" xfId="0" applyNumberFormat="1" applyFont="1" applyFill="1" applyAlignment="1" applyProtection="1">
      <alignment vertical="center"/>
      <protection locked="0"/>
    </xf>
    <xf numFmtId="0" fontId="3" fillId="7" borderId="0" xfId="1" applyNumberFormat="1" applyFont="1" applyFill="1" applyBorder="1" applyAlignment="1" applyProtection="1">
      <alignment vertical="center"/>
      <protection locked="0"/>
    </xf>
    <xf numFmtId="44" fontId="3" fillId="7" borderId="0" xfId="0" applyNumberFormat="1" applyFont="1" applyFill="1" applyAlignment="1" applyProtection="1">
      <alignment vertical="center"/>
      <protection locked="0"/>
    </xf>
    <xf numFmtId="0" fontId="10" fillId="7" borderId="0" xfId="1" applyNumberFormat="1" applyFont="1" applyFill="1" applyBorder="1" applyAlignment="1" applyProtection="1">
      <alignment vertical="center"/>
      <protection locked="0"/>
    </xf>
    <xf numFmtId="3" fontId="3" fillId="3" borderId="0" xfId="2" applyFont="1" applyFill="1" applyBorder="1" applyAlignment="1" applyProtection="1">
      <alignment vertical="center"/>
      <protection locked="0"/>
    </xf>
    <xf numFmtId="164" fontId="8" fillId="0" borderId="16" xfId="2" applyNumberFormat="1" applyFont="1" applyFill="1" applyBorder="1" applyAlignment="1" applyProtection="1">
      <alignment horizontal="left" vertical="center" wrapText="1"/>
      <protection locked="0"/>
    </xf>
    <xf numFmtId="164" fontId="3" fillId="0" borderId="5" xfId="2" applyNumberFormat="1" applyFont="1" applyFill="1" applyBorder="1" applyAlignment="1" applyProtection="1">
      <alignment horizontal="left" vertical="center"/>
      <protection locked="0"/>
    </xf>
    <xf numFmtId="164" fontId="8" fillId="0" borderId="17" xfId="2" applyNumberFormat="1" applyFont="1" applyFill="1" applyBorder="1" applyAlignment="1" applyProtection="1">
      <alignment horizontal="left" vertical="center" wrapText="1"/>
      <protection locked="0"/>
    </xf>
    <xf numFmtId="164" fontId="3" fillId="0" borderId="8" xfId="2" applyNumberFormat="1" applyFont="1" applyFill="1" applyBorder="1" applyAlignment="1" applyProtection="1">
      <alignment horizontal="left" vertical="center"/>
      <protection locked="0"/>
    </xf>
    <xf numFmtId="0" fontId="11" fillId="0" borderId="16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vertical="center"/>
      <protection locked="0"/>
    </xf>
    <xf numFmtId="0" fontId="9" fillId="0" borderId="16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167" fontId="10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8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5" xfId="0" applyFont="1" applyFill="1" applyBorder="1" applyAlignment="1" applyProtection="1">
      <alignment vertical="center"/>
      <protection locked="0"/>
    </xf>
    <xf numFmtId="0" fontId="9" fillId="0" borderId="16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44" fontId="10" fillId="7" borderId="0" xfId="0" applyNumberFormat="1" applyFont="1" applyFill="1" applyAlignment="1" applyProtection="1">
      <alignment vertical="center"/>
      <protection locked="0"/>
    </xf>
    <xf numFmtId="44" fontId="10" fillId="3" borderId="0" xfId="0" applyNumberFormat="1" applyFont="1" applyFill="1" applyAlignment="1" applyProtection="1">
      <alignment vertical="center"/>
      <protection locked="0"/>
    </xf>
    <xf numFmtId="170" fontId="3" fillId="7" borderId="0" xfId="0" applyNumberFormat="1" applyFont="1" applyFill="1" applyAlignment="1" applyProtection="1">
      <alignment vertical="center"/>
      <protection locked="0"/>
    </xf>
    <xf numFmtId="164" fontId="3" fillId="0" borderId="16" xfId="2" applyNumberFormat="1" applyFont="1" applyFill="1" applyBorder="1" applyAlignment="1" applyProtection="1">
      <alignment vertical="center" wrapText="1"/>
      <protection locked="0"/>
    </xf>
    <xf numFmtId="164" fontId="3" fillId="0" borderId="5" xfId="2" applyNumberFormat="1" applyFont="1" applyFill="1" applyBorder="1" applyAlignment="1" applyProtection="1">
      <alignment vertical="center" wrapText="1"/>
      <protection locked="0"/>
    </xf>
    <xf numFmtId="3" fontId="3" fillId="0" borderId="0" xfId="2" applyFont="1" applyFill="1" applyBorder="1" applyAlignment="1">
      <alignment vertical="center"/>
    </xf>
    <xf numFmtId="3" fontId="3" fillId="0" borderId="0" xfId="2" applyFont="1" applyFill="1" applyBorder="1" applyAlignment="1" applyProtection="1">
      <alignment vertical="center"/>
    </xf>
    <xf numFmtId="3" fontId="3" fillId="0" borderId="2" xfId="2" applyFont="1" applyFill="1" applyBorder="1" applyAlignment="1" applyProtection="1">
      <alignment vertical="center"/>
    </xf>
    <xf numFmtId="3" fontId="3" fillId="0" borderId="7" xfId="2" applyFont="1" applyFill="1" applyBorder="1" applyAlignment="1" applyProtection="1">
      <alignment vertical="center"/>
    </xf>
    <xf numFmtId="0" fontId="11" fillId="0" borderId="22" xfId="0" applyFont="1" applyBorder="1" applyAlignment="1" applyProtection="1">
      <alignment vertical="center" wrapText="1"/>
    </xf>
    <xf numFmtId="4" fontId="3" fillId="0" borderId="4" xfId="0" quotePrefix="1" applyNumberFormat="1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vertical="center"/>
    </xf>
    <xf numFmtId="4" fontId="3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0" fillId="0" borderId="4" xfId="0" quotePrefix="1" applyFont="1" applyBorder="1" applyAlignment="1" applyProtection="1">
      <alignment vertical="center"/>
    </xf>
    <xf numFmtId="168" fontId="10" fillId="3" borderId="0" xfId="1" applyNumberFormat="1" applyFont="1" applyFill="1" applyBorder="1" applyAlignment="1" applyProtection="1">
      <alignment horizontal="right" vertical="center"/>
      <protection locked="0"/>
    </xf>
    <xf numFmtId="167" fontId="10" fillId="3" borderId="0" xfId="0" applyNumberFormat="1" applyFont="1" applyFill="1" applyBorder="1" applyAlignment="1" applyProtection="1">
      <alignment horizontal="right" vertical="center"/>
      <protection locked="0"/>
    </xf>
    <xf numFmtId="0" fontId="10" fillId="3" borderId="0" xfId="1" applyNumberFormat="1" applyFont="1" applyFill="1" applyBorder="1" applyAlignment="1" applyProtection="1">
      <alignment horizontal="right" vertical="center"/>
      <protection locked="0"/>
    </xf>
    <xf numFmtId="3" fontId="10" fillId="0" borderId="4" xfId="2" applyFont="1" applyFill="1" applyBorder="1" applyAlignment="1" applyProtection="1">
      <alignment vertical="center"/>
    </xf>
    <xf numFmtId="168" fontId="3" fillId="6" borderId="9" xfId="3" applyNumberFormat="1" applyFont="1" applyFill="1" applyBorder="1" applyAlignment="1">
      <alignment vertical="center"/>
    </xf>
    <xf numFmtId="168" fontId="3" fillId="6" borderId="4" xfId="3" applyNumberFormat="1" applyFont="1" applyFill="1" applyBorder="1" applyAlignment="1">
      <alignment vertical="center"/>
    </xf>
    <xf numFmtId="165" fontId="3" fillId="4" borderId="9" xfId="3" applyNumberFormat="1" applyFont="1" applyFill="1" applyBorder="1" applyAlignment="1">
      <alignment vertical="center"/>
    </xf>
    <xf numFmtId="166" fontId="3" fillId="5" borderId="9" xfId="3" applyNumberFormat="1" applyFont="1" applyFill="1" applyBorder="1" applyAlignment="1">
      <alignment vertical="center"/>
    </xf>
    <xf numFmtId="164" fontId="3" fillId="0" borderId="16" xfId="2" applyNumberFormat="1" applyFont="1" applyFill="1" applyBorder="1" applyAlignment="1" applyProtection="1">
      <alignment horizontal="left" vertical="center" wrapText="1"/>
      <protection locked="0"/>
    </xf>
    <xf numFmtId="164" fontId="3" fillId="0" borderId="5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 applyProtection="1">
      <alignment horizontal="left" vertical="center" wrapText="1"/>
      <protection locked="0"/>
    </xf>
    <xf numFmtId="3" fontId="3" fillId="0" borderId="0" xfId="2" applyFont="1" applyFill="1" applyBorder="1" applyAlignment="1" applyProtection="1">
      <alignment vertical="center"/>
      <protection locked="0"/>
    </xf>
    <xf numFmtId="168" fontId="3" fillId="3" borderId="0" xfId="2" applyNumberFormat="1" applyFont="1" applyFill="1" applyBorder="1" applyAlignment="1" applyProtection="1">
      <alignment vertical="center"/>
      <protection locked="0"/>
    </xf>
    <xf numFmtId="4" fontId="3" fillId="0" borderId="4" xfId="0" quotePrefix="1" applyNumberFormat="1" applyFont="1" applyFill="1" applyBorder="1" applyAlignment="1" applyProtection="1">
      <alignment horizontal="left" vertical="center" wrapText="1"/>
    </xf>
    <xf numFmtId="4" fontId="3" fillId="0" borderId="0" xfId="0" quotePrefix="1" applyNumberFormat="1" applyFont="1" applyFill="1" applyBorder="1" applyAlignment="1" applyProtection="1">
      <alignment horizontal="left" vertical="center" wrapText="1"/>
    </xf>
    <xf numFmtId="0" fontId="10" fillId="0" borderId="16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4" fontId="10" fillId="0" borderId="4" xfId="0" quotePrefix="1" applyNumberFormat="1" applyFont="1" applyFill="1" applyBorder="1" applyAlignment="1" applyProtection="1">
      <alignment horizontal="left" vertical="top" wrapText="1"/>
    </xf>
    <xf numFmtId="4" fontId="10" fillId="0" borderId="0" xfId="0" quotePrefix="1" applyNumberFormat="1" applyFont="1" applyFill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10" fillId="0" borderId="7" xfId="0" applyFont="1" applyBorder="1" applyAlignment="1" applyProtection="1">
      <alignment horizontal="left" vertical="top" wrapText="1"/>
    </xf>
    <xf numFmtId="164" fontId="3" fillId="0" borderId="16" xfId="2" applyNumberFormat="1" applyFont="1" applyFill="1" applyBorder="1" applyAlignment="1" applyProtection="1">
      <alignment horizontal="left" wrapText="1"/>
      <protection locked="0"/>
    </xf>
    <xf numFmtId="164" fontId="3" fillId="0" borderId="5" xfId="2" applyNumberFormat="1" applyFont="1" applyFill="1" applyBorder="1" applyAlignment="1" applyProtection="1">
      <alignment horizontal="left" wrapText="1"/>
      <protection locked="0"/>
    </xf>
    <xf numFmtId="0" fontId="10" fillId="0" borderId="17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164" fontId="3" fillId="0" borderId="16" xfId="2" applyNumberFormat="1" applyFont="1" applyFill="1" applyBorder="1" applyAlignment="1" applyProtection="1">
      <alignment horizontal="left" vertical="center" wrapText="1"/>
      <protection locked="0"/>
    </xf>
    <xf numFmtId="164" fontId="3" fillId="0" borderId="5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3" fontId="3" fillId="0" borderId="0" xfId="2" applyFont="1" applyFill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right" vertical="center"/>
    </xf>
    <xf numFmtId="3" fontId="6" fillId="9" borderId="19" xfId="3" applyFont="1" applyFill="1" applyBorder="1" applyAlignment="1">
      <alignment horizontal="center" vertical="center"/>
    </xf>
    <xf numFmtId="3" fontId="6" fillId="9" borderId="18" xfId="3" applyFont="1" applyFill="1" applyBorder="1" applyAlignment="1">
      <alignment horizontal="center" vertical="center"/>
    </xf>
    <xf numFmtId="3" fontId="6" fillId="9" borderId="20" xfId="3" applyFont="1" applyFill="1" applyBorder="1" applyAlignment="1">
      <alignment horizontal="center" vertical="center"/>
    </xf>
    <xf numFmtId="3" fontId="6" fillId="8" borderId="19" xfId="3" applyFont="1" applyFill="1" applyBorder="1" applyAlignment="1">
      <alignment horizontal="center" vertical="center"/>
    </xf>
    <xf numFmtId="3" fontId="6" fillId="8" borderId="18" xfId="3" applyFont="1" applyFill="1" applyBorder="1" applyAlignment="1">
      <alignment horizontal="center" vertical="center"/>
    </xf>
    <xf numFmtId="3" fontId="6" fillId="8" borderId="20" xfId="3" applyFont="1" applyFill="1" applyBorder="1" applyAlignment="1">
      <alignment horizontal="center" vertical="center"/>
    </xf>
  </cellXfs>
  <cellStyles count="6">
    <cellStyle name="Procent" xfId="5" builtinId="5"/>
    <cellStyle name="Procent 2" xfId="4"/>
    <cellStyle name="Standaard" xfId="0" builtinId="0"/>
    <cellStyle name="Standaard 2" xfId="3"/>
    <cellStyle name="Standaard_Kostenplan" xfId="2"/>
    <cellStyle name="Valuta" xfId="1" builtinId="4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 sz="1800" b="1" i="0" baseline="0">
                <a:effectLst/>
              </a:rPr>
              <a:t>Vergleich kumulativer Barwert</a:t>
            </a:r>
            <a:endParaRPr lang="nl-NL">
              <a:effectLst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3012886283004127"/>
          <c:y val="0.14278431322934373"/>
          <c:w val="0.8398457119933137"/>
          <c:h val="0.76360147726253269"/>
        </c:manualLayout>
      </c:layout>
      <c:lineChart>
        <c:grouping val="standard"/>
        <c:varyColors val="0"/>
        <c:ser>
          <c:idx val="1"/>
          <c:order val="0"/>
          <c:tx>
            <c:strRef>
              <c:f>Ergebnis!$C$32</c:f>
              <c:strCache>
                <c:ptCount val="1"/>
                <c:pt idx="0">
                  <c:v>Referenzmaßnahme (1)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Ergebnis!$D$34:$D$74</c:f>
              <c:numCache>
                <c:formatCode>#,##0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Ergebnis!$N$34:$N$74</c:f>
              <c:numCache>
                <c:formatCode>_ [$€-413]\ * #,##0_ ;_ [$€-413]\ * \-#,##0_ ;_ [$€-413]\ * "-"???_ ;_ @_ </c:formatCode>
                <c:ptCount val="41"/>
                <c:pt idx="0">
                  <c:v>-25000</c:v>
                </c:pt>
                <c:pt idx="1">
                  <c:v>-26115.273076923077</c:v>
                </c:pt>
                <c:pt idx="2">
                  <c:v>-27198.374815088755</c:v>
                </c:pt>
                <c:pt idx="3">
                  <c:v>-28250.233233884272</c:v>
                </c:pt>
                <c:pt idx="4">
                  <c:v>-29271.749582906839</c:v>
                </c:pt>
                <c:pt idx="5">
                  <c:v>-30263.799114169142</c:v>
                </c:pt>
                <c:pt idx="6">
                  <c:v>-31227.231832029647</c:v>
                </c:pt>
                <c:pt idx="7">
                  <c:v>-32162.873221490328</c:v>
                </c:pt>
                <c:pt idx="8">
                  <c:v>-33071.524955485802</c:v>
                </c:pt>
                <c:pt idx="9">
                  <c:v>-33953.965581769866</c:v>
                </c:pt>
                <c:pt idx="10">
                  <c:v>-34810.951189988045</c:v>
                </c:pt>
                <c:pt idx="11">
                  <c:v>-35643.21605950762</c:v>
                </c:pt>
                <c:pt idx="12">
                  <c:v>-36451.473288560286</c:v>
                </c:pt>
                <c:pt idx="13">
                  <c:v>-37236.415405236432</c:v>
                </c:pt>
                <c:pt idx="14">
                  <c:v>-37998.71496085461</c:v>
                </c:pt>
                <c:pt idx="15">
                  <c:v>-38739.025106214569</c:v>
                </c:pt>
                <c:pt idx="16">
                  <c:v>-39457.98015122761</c:v>
                </c:pt>
                <c:pt idx="17">
                  <c:v>-40156.196108403739</c:v>
                </c:pt>
                <c:pt idx="18">
                  <c:v>-40834.271220661321</c:v>
                </c:pt>
                <c:pt idx="19">
                  <c:v>-41492.786473911474</c:v>
                </c:pt>
                <c:pt idx="20">
                  <c:v>-67394.02663127688</c:v>
                </c:pt>
                <c:pt idx="21">
                  <c:v>-68015.098570848335</c:v>
                </c:pt>
                <c:pt idx="22">
                  <c:v>-68618.254973701376</c:v>
                </c:pt>
                <c:pt idx="23">
                  <c:v>-69204.012634164421</c:v>
                </c:pt>
                <c:pt idx="24">
                  <c:v>-69772.873439037197</c:v>
                </c:pt>
                <c:pt idx="25">
                  <c:v>-70325.324797615569</c:v>
                </c:pt>
                <c:pt idx="26">
                  <c:v>-70861.840059311871</c:v>
                </c:pt>
                <c:pt idx="27">
                  <c:v>-71382.87891922846</c:v>
                </c:pt>
                <c:pt idx="28">
                  <c:v>-71888.887812032073</c:v>
                </c:pt>
                <c:pt idx="29">
                  <c:v>-72380.30029446636</c:v>
                </c:pt>
                <c:pt idx="30">
                  <c:v>-72857.537416830426</c:v>
                </c:pt>
                <c:pt idx="31">
                  <c:v>-73321.008083741675</c:v>
                </c:pt>
                <c:pt idx="32">
                  <c:v>-73771.109404492032</c:v>
                </c:pt>
                <c:pt idx="33">
                  <c:v>-74208.227033297662</c:v>
                </c:pt>
                <c:pt idx="34">
                  <c:v>-74632.735499733899</c:v>
                </c:pt>
                <c:pt idx="35">
                  <c:v>-75044.998529638324</c:v>
                </c:pt>
                <c:pt idx="36">
                  <c:v>-75445.369356757044</c:v>
                </c:pt>
                <c:pt idx="37">
                  <c:v>-75834.191025401189</c:v>
                </c:pt>
                <c:pt idx="38">
                  <c:v>-76211.796684372908</c:v>
                </c:pt>
                <c:pt idx="39">
                  <c:v>-76578.509872412746</c:v>
                </c:pt>
                <c:pt idx="40">
                  <c:v>-76819.667177384923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398-456C-A7E4-41AADBBF83EA}"/>
            </c:ext>
          </c:extLst>
        </c:ser>
        <c:ser>
          <c:idx val="0"/>
          <c:order val="1"/>
          <c:tx>
            <c:strRef>
              <c:f>Ergebnis!$C$78</c:f>
              <c:strCache>
                <c:ptCount val="1"/>
                <c:pt idx="0">
                  <c:v>Nachhaltige Maßnahme (2)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Ergebnis!$D$34:$D$74</c:f>
              <c:numCache>
                <c:formatCode>#,##0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Ergebnis!$N$80:$N$120</c:f>
              <c:numCache>
                <c:formatCode>_ [$€-413]\ * #,##0_ ;_ [$€-413]\ * \-#,##0_ ;_ [$€-413]\ * "-"???_ ;_ @_ </c:formatCode>
                <c:ptCount val="41"/>
                <c:pt idx="0">
                  <c:v>-65000</c:v>
                </c:pt>
                <c:pt idx="1">
                  <c:v>-60445.423076923078</c:v>
                </c:pt>
                <c:pt idx="2">
                  <c:v>-55977.996231508878</c:v>
                </c:pt>
                <c:pt idx="3">
                  <c:v>-51639.437468173935</c:v>
                </c:pt>
                <c:pt idx="4">
                  <c:v>-47426.029438396727</c:v>
                </c:pt>
                <c:pt idx="5">
                  <c:v>-43334.162024863093</c:v>
                </c:pt>
                <c:pt idx="6">
                  <c:v>-39360.329248258313</c:v>
                </c:pt>
                <c:pt idx="7">
                  <c:v>-35501.126263286365</c:v>
                </c:pt>
                <c:pt idx="8">
                  <c:v>-31753.246441342457</c:v>
                </c:pt>
                <c:pt idx="9">
                  <c:v>-28113.478537339237</c:v>
                </c:pt>
                <c:pt idx="10">
                  <c:v>-24578.703938259187</c:v>
                </c:pt>
                <c:pt idx="11">
                  <c:v>-21145.893991075674</c:v>
                </c:pt>
                <c:pt idx="12">
                  <c:v>-17812.107407753228</c:v>
                </c:pt>
                <c:pt idx="13">
                  <c:v>-14574.487745103545</c:v>
                </c:pt>
                <c:pt idx="14">
                  <c:v>-11430.260957337985</c:v>
                </c:pt>
                <c:pt idx="15">
                  <c:v>-8376.7330192195095</c:v>
                </c:pt>
                <c:pt idx="16">
                  <c:v>-5411.2876177775288</c:v>
                </c:pt>
                <c:pt idx="17">
                  <c:v>-2531.3839106079126</c:v>
                </c:pt>
                <c:pt idx="18">
                  <c:v>265.44565116257991</c:v>
                </c:pt>
                <c:pt idx="19">
                  <c:v>2981.5974371127691</c:v>
                </c:pt>
                <c:pt idx="20">
                  <c:v>-46396.009769451055</c:v>
                </c:pt>
                <c:pt idx="21">
                  <c:v>-43834.298936566636</c:v>
                </c:pt>
                <c:pt idx="22">
                  <c:v>-41346.483608476963</c:v>
                </c:pt>
                <c:pt idx="23">
                  <c:v>-38930.432184082179</c:v>
                </c:pt>
                <c:pt idx="24">
                  <c:v>-36584.074550775709</c:v>
                </c:pt>
                <c:pt idx="25">
                  <c:v>-34305.400310737692</c:v>
                </c:pt>
                <c:pt idx="26">
                  <c:v>-32092.45705839308</c:v>
                </c:pt>
                <c:pt idx="27">
                  <c:v>-29943.348707558409</c:v>
                </c:pt>
                <c:pt idx="28">
                  <c:v>-27856.23386684397</c:v>
                </c:pt>
                <c:pt idx="29">
                  <c:v>-25829.32426191937</c:v>
                </c:pt>
                <c:pt idx="30">
                  <c:v>-23860.883203290672</c:v>
                </c:pt>
                <c:pt idx="31">
                  <c:v>-21949.224098276263</c:v>
                </c:pt>
                <c:pt idx="32">
                  <c:v>-20092.709005906501</c:v>
                </c:pt>
                <c:pt idx="33">
                  <c:v>-18289.747233508944</c:v>
                </c:pt>
                <c:pt idx="34">
                  <c:v>-16538.793973776701</c:v>
                </c:pt>
                <c:pt idx="35">
                  <c:v>-14838.348981152119</c:v>
                </c:pt>
                <c:pt idx="36">
                  <c:v>-13186.955286391709</c:v>
                </c:pt>
                <c:pt idx="37">
                  <c:v>-11583.197948210925</c:v>
                </c:pt>
                <c:pt idx="38">
                  <c:v>-10025.702840939202</c:v>
                </c:pt>
                <c:pt idx="39">
                  <c:v>-8513.1354771464721</c:v>
                </c:pt>
                <c:pt idx="40">
                  <c:v>-6446.316250486494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398-456C-A7E4-41AADBBF8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69728"/>
        <c:axId val="102768640"/>
      </c:lineChart>
      <c:catAx>
        <c:axId val="9776972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nl-NL"/>
          </a:p>
        </c:txPr>
        <c:crossAx val="102768640"/>
        <c:crosses val="autoZero"/>
        <c:auto val="1"/>
        <c:lblAlgn val="ctr"/>
        <c:lblOffset val="100"/>
        <c:noMultiLvlLbl val="0"/>
      </c:catAx>
      <c:valAx>
        <c:axId val="102768640"/>
        <c:scaling>
          <c:orientation val="minMax"/>
        </c:scaling>
        <c:delete val="0"/>
        <c:axPos val="l"/>
        <c:majorGridlines/>
        <c:numFmt formatCode="_ [$€-413]\ * #,##0_ ;_ [$€-413]\ * \-#,##0_ ;_ [$€-413]\ * &quot;-&quot;???_ ;_ @_ 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nl-NL"/>
          </a:p>
        </c:txPr>
        <c:crossAx val="97769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2750529398204941E-2"/>
          <c:y val="0.92592783220579544"/>
          <c:w val="0.82395109486581986"/>
          <c:h val="7.4072167794204585E-2"/>
        </c:manualLayout>
      </c:layout>
      <c:overlay val="0"/>
      <c:txPr>
        <a:bodyPr/>
        <a:lstStyle/>
        <a:p>
          <a:pPr>
            <a:defRPr sz="900" baseline="0"/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nl-NL" sz="1800" b="1" i="0" baseline="0">
                <a:effectLst/>
              </a:rPr>
              <a:t>Unterschiede Cashflow</a:t>
            </a:r>
            <a:endParaRPr lang="nl-NL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>
              <a:effectLst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3012886283004127"/>
          <c:y val="0.14278431322934373"/>
          <c:w val="0.8398457119933137"/>
          <c:h val="0.763601477262532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Ergebnis!$V$33</c:f>
              <c:strCache>
                <c:ptCount val="1"/>
                <c:pt idx="0">
                  <c:v>Unterschied im Cashflow (Nachhaltige Maßnahme gegenüber Referenzmaßnahme)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cat>
            <c:numRef>
              <c:f>Ergebnis!$D$34:$D$74</c:f>
              <c:numCache>
                <c:formatCode>#,##0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Ergebnis!$V$34:$V$74</c:f>
              <c:numCache>
                <c:formatCode>_ [$€-413]\ * #,##0_ ;_ [$€-413]\ * \-#,##0_ ;_ [$€-413]\ * "-"??_ ;_ @_ </c:formatCode>
                <c:ptCount val="41"/>
                <c:pt idx="0">
                  <c:v>-40000</c:v>
                </c:pt>
                <c:pt idx="1">
                  <c:v>5896.6440000000002</c:v>
                </c:pt>
                <c:pt idx="2">
                  <c:v>6003.4517160000005</c:v>
                </c:pt>
                <c:pt idx="3">
                  <c:v>6063.4862331599998</c:v>
                </c:pt>
                <c:pt idx="4">
                  <c:v>6124.1210954915996</c:v>
                </c:pt>
                <c:pt idx="5">
                  <c:v>6185.3623064465146</c:v>
                </c:pt>
                <c:pt idx="6">
                  <c:v>6247.2159295109823</c:v>
                </c:pt>
                <c:pt idx="7">
                  <c:v>6309.6880888060905</c:v>
                </c:pt>
                <c:pt idx="8">
                  <c:v>6372.7849696941521</c:v>
                </c:pt>
                <c:pt idx="9">
                  <c:v>6436.5128193910941</c:v>
                </c:pt>
                <c:pt idx="10">
                  <c:v>6500.8779475850051</c:v>
                </c:pt>
                <c:pt idx="11">
                  <c:v>6565.8867270608534</c:v>
                </c:pt>
                <c:pt idx="12">
                  <c:v>6631.5455943314637</c:v>
                </c:pt>
                <c:pt idx="13">
                  <c:v>6697.8610502747779</c:v>
                </c:pt>
                <c:pt idx="14">
                  <c:v>6764.8396607775267</c:v>
                </c:pt>
                <c:pt idx="15">
                  <c:v>6832.4880573853006</c:v>
                </c:pt>
                <c:pt idx="16">
                  <c:v>6900.8129379591546</c:v>
                </c:pt>
                <c:pt idx="17">
                  <c:v>6969.8210673387475</c:v>
                </c:pt>
                <c:pt idx="18">
                  <c:v>7039.5192780121342</c:v>
                </c:pt>
                <c:pt idx="19">
                  <c:v>7109.9144707922542</c:v>
                </c:pt>
                <c:pt idx="20">
                  <c:v>-51439.611155845887</c:v>
                </c:pt>
                <c:pt idx="21">
                  <c:v>7252.8237516551799</c:v>
                </c:pt>
                <c:pt idx="22">
                  <c:v>7325.3519891717315</c:v>
                </c:pt>
                <c:pt idx="23">
                  <c:v>7398.6055090634482</c:v>
                </c:pt>
                <c:pt idx="24">
                  <c:v>7472.5915641540851</c:v>
                </c:pt>
                <c:pt idx="25">
                  <c:v>7547.3174797956262</c:v>
                </c:pt>
                <c:pt idx="26">
                  <c:v>7622.7906545935821</c:v>
                </c:pt>
                <c:pt idx="27">
                  <c:v>7699.0185611395154</c:v>
                </c:pt>
                <c:pt idx="28">
                  <c:v>7776.0087467509111</c:v>
                </c:pt>
                <c:pt idx="29">
                  <c:v>7853.768834218421</c:v>
                </c:pt>
                <c:pt idx="30">
                  <c:v>7932.306522560606</c:v>
                </c:pt>
                <c:pt idx="31">
                  <c:v>8011.6295877862094</c:v>
                </c:pt>
                <c:pt idx="32">
                  <c:v>8091.7458836640735</c:v>
                </c:pt>
                <c:pt idx="33">
                  <c:v>8172.6633425007149</c:v>
                </c:pt>
                <c:pt idx="34">
                  <c:v>8254.389975925722</c:v>
                </c:pt>
                <c:pt idx="35">
                  <c:v>8336.9338756849775</c:v>
                </c:pt>
                <c:pt idx="36">
                  <c:v>8420.3032144418285</c:v>
                </c:pt>
                <c:pt idx="37">
                  <c:v>8504.5062465862466</c:v>
                </c:pt>
                <c:pt idx="38">
                  <c:v>8589.551309052109</c:v>
                </c:pt>
                <c:pt idx="39">
                  <c:v>8675.4468221426287</c:v>
                </c:pt>
                <c:pt idx="40">
                  <c:v>11080.642937159651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85-4428-95DA-2A65DAA6C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10752"/>
        <c:axId val="102812288"/>
      </c:barChart>
      <c:catAx>
        <c:axId val="10281075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nl-NL"/>
          </a:p>
        </c:txPr>
        <c:crossAx val="102812288"/>
        <c:crosses val="autoZero"/>
        <c:auto val="1"/>
        <c:lblAlgn val="ctr"/>
        <c:lblOffset val="100"/>
        <c:noMultiLvlLbl val="0"/>
      </c:catAx>
      <c:valAx>
        <c:axId val="102812288"/>
        <c:scaling>
          <c:orientation val="minMax"/>
        </c:scaling>
        <c:delete val="0"/>
        <c:axPos val="l"/>
        <c:majorGridlines/>
        <c:numFmt formatCode="_ [$€-413]\ * #,##0_ ;_ [$€-413]\ * \-#,##0_ ;_ [$€-413]\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nl-NL"/>
          </a:p>
        </c:txPr>
        <c:crossAx val="102810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2750529398204941E-2"/>
          <c:y val="0.92592783220579544"/>
          <c:w val="0.82395109486581986"/>
          <c:h val="7.4072167794204585E-2"/>
        </c:manualLayout>
      </c:layout>
      <c:overlay val="0"/>
      <c:txPr>
        <a:bodyPr/>
        <a:lstStyle/>
        <a:p>
          <a:pPr>
            <a:defRPr sz="900" baseline="0"/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110289</xdr:colOff>
      <xdr:row>1</xdr:row>
      <xdr:rowOff>8822</xdr:rowOff>
    </xdr:from>
    <xdr:to>
      <xdr:col>1</xdr:col>
      <xdr:colOff>628186</xdr:colOff>
      <xdr:row>4</xdr:row>
      <xdr:rowOff>2375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839" y="191702"/>
          <a:ext cx="525517" cy="5339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60489</xdr:colOff>
      <xdr:row>9</xdr:row>
      <xdr:rowOff>147747</xdr:rowOff>
    </xdr:from>
    <xdr:to>
      <xdr:col>8</xdr:col>
      <xdr:colOff>361951</xdr:colOff>
      <xdr:row>28</xdr:row>
      <xdr:rowOff>163400</xdr:rowOff>
    </xdr:to>
    <xdr:graphicFrame macro="">
      <xdr:nvGraphicFramePr>
        <xdr:cNvPr id="2" name="Grafiek 1" title="Vergelijk Electrische Boiler versus Zonneboile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482189</xdr:colOff>
      <xdr:row>9</xdr:row>
      <xdr:rowOff>142651</xdr:rowOff>
    </xdr:from>
    <xdr:to>
      <xdr:col>15</xdr:col>
      <xdr:colOff>579795</xdr:colOff>
      <xdr:row>28</xdr:row>
      <xdr:rowOff>162114</xdr:rowOff>
    </xdr:to>
    <xdr:graphicFrame macro="">
      <xdr:nvGraphicFramePr>
        <xdr:cNvPr id="4" name="Grafiek 3" title="Vergelijk Electrische Boiler versus Zonneboiler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117232</xdr:colOff>
      <xdr:row>1</xdr:row>
      <xdr:rowOff>10845</xdr:rowOff>
    </xdr:from>
    <xdr:to>
      <xdr:col>2</xdr:col>
      <xdr:colOff>642749</xdr:colOff>
      <xdr:row>4</xdr:row>
      <xdr:rowOff>1028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82" y="193725"/>
          <a:ext cx="525517" cy="52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showGridLines="0" tabSelected="1" showWhiteSpace="0" view="pageBreakPreview" topLeftCell="B1" zoomScaleNormal="85" zoomScaleSheetLayoutView="100" zoomScalePageLayoutView="115" workbookViewId="0">
      <selection activeCell="R37" sqref="R37"/>
    </sheetView>
  </sheetViews>
  <sheetFormatPr defaultColWidth="8.85546875" defaultRowHeight="14.25" outlineLevelCol="1" x14ac:dyDescent="0.25"/>
  <cols>
    <col min="1" max="1" width="8.85546875" style="3" customWidth="1"/>
    <col min="2" max="2" width="10.7109375" style="3" customWidth="1"/>
    <col min="3" max="3" width="24.140625" style="3" customWidth="1"/>
    <col min="4" max="4" width="11.7109375" style="3" customWidth="1"/>
    <col min="5" max="5" width="4.85546875" style="3" customWidth="1"/>
    <col min="6" max="6" width="9.42578125" style="3" customWidth="1"/>
    <col min="7" max="7" width="17.28515625" style="3" bestFit="1" customWidth="1"/>
    <col min="8" max="8" width="10.85546875" style="47" customWidth="1"/>
    <col min="9" max="9" width="6.42578125" style="3" customWidth="1"/>
    <col min="10" max="10" width="10.7109375" style="3" customWidth="1"/>
    <col min="11" max="11" width="21.28515625" style="3" hidden="1" customWidth="1"/>
    <col min="12" max="12" width="13.7109375" style="3" hidden="1" customWidth="1" outlineLevel="1"/>
    <col min="13" max="13" width="35.85546875" style="85" customWidth="1" collapsed="1"/>
    <col min="14" max="14" width="12.140625" style="3" customWidth="1"/>
    <col min="15" max="15" width="8.85546875" style="3" customWidth="1"/>
    <col min="16" max="16384" width="8.85546875" style="3"/>
  </cols>
  <sheetData>
    <row r="1" spans="1:16" x14ac:dyDescent="0.25">
      <c r="B1" s="82"/>
      <c r="C1" s="4"/>
      <c r="D1" s="5"/>
      <c r="E1" s="4"/>
      <c r="F1" s="5"/>
      <c r="G1" s="5"/>
      <c r="H1" s="5"/>
      <c r="I1" s="6"/>
      <c r="J1" s="6"/>
    </row>
    <row r="2" spans="1:16" x14ac:dyDescent="0.25">
      <c r="A2" s="7"/>
      <c r="B2" s="8"/>
      <c r="C2" s="174" t="s">
        <v>13</v>
      </c>
      <c r="D2" s="171" t="s">
        <v>12</v>
      </c>
      <c r="E2" s="147"/>
      <c r="F2" s="147"/>
      <c r="G2" s="147"/>
      <c r="H2" s="147"/>
      <c r="I2" s="148"/>
      <c r="J2" s="147"/>
      <c r="K2" s="147"/>
      <c r="L2" s="147"/>
      <c r="M2" s="158" t="s">
        <v>67</v>
      </c>
      <c r="N2" s="149" t="s">
        <v>71</v>
      </c>
    </row>
    <row r="3" spans="1:16" x14ac:dyDescent="0.25">
      <c r="A3" s="7"/>
      <c r="B3" s="13"/>
      <c r="C3" s="175" t="s">
        <v>14</v>
      </c>
      <c r="D3" s="172">
        <v>16343801</v>
      </c>
      <c r="E3" s="150"/>
      <c r="F3" s="150"/>
      <c r="G3" s="150"/>
      <c r="H3" s="150"/>
      <c r="I3" s="151"/>
      <c r="J3" s="150"/>
      <c r="K3" s="150"/>
      <c r="L3" s="150"/>
      <c r="M3" s="159" t="s">
        <v>68</v>
      </c>
      <c r="N3" s="152" t="s">
        <v>4</v>
      </c>
    </row>
    <row r="4" spans="1:16" x14ac:dyDescent="0.25">
      <c r="A4" s="7"/>
      <c r="B4" s="18"/>
      <c r="C4" s="176" t="s">
        <v>15</v>
      </c>
      <c r="D4" s="173" t="s">
        <v>85</v>
      </c>
      <c r="E4" s="153"/>
      <c r="F4" s="153"/>
      <c r="G4" s="153"/>
      <c r="H4" s="153"/>
      <c r="I4" s="154"/>
      <c r="J4" s="153"/>
      <c r="K4" s="153"/>
      <c r="L4" s="153"/>
      <c r="M4" s="160" t="s">
        <v>0</v>
      </c>
      <c r="N4" s="155" t="s">
        <v>79</v>
      </c>
    </row>
    <row r="5" spans="1:16" s="49" customFormat="1" x14ac:dyDescent="0.25">
      <c r="A5" s="79"/>
      <c r="B5" s="67"/>
      <c r="C5" s="79"/>
      <c r="D5" s="156"/>
      <c r="E5" s="146"/>
      <c r="F5" s="146"/>
      <c r="G5" s="146"/>
      <c r="H5" s="146"/>
      <c r="I5" s="156"/>
      <c r="J5" s="146"/>
      <c r="K5" s="146"/>
      <c r="L5" s="146"/>
      <c r="M5" s="161"/>
      <c r="N5" s="157"/>
    </row>
    <row r="6" spans="1:16" s="49" customFormat="1" x14ac:dyDescent="0.25">
      <c r="A6" s="79"/>
      <c r="B6" s="180"/>
      <c r="C6" s="178" t="s">
        <v>16</v>
      </c>
      <c r="D6" s="115"/>
      <c r="E6" s="114"/>
      <c r="F6" s="114"/>
      <c r="G6" s="114"/>
      <c r="H6" s="114"/>
      <c r="I6" s="115"/>
      <c r="J6" s="114"/>
      <c r="K6" s="114"/>
      <c r="L6" s="114"/>
      <c r="M6" s="138"/>
      <c r="N6" s="141"/>
      <c r="O6" s="106"/>
      <c r="P6" s="96"/>
    </row>
    <row r="7" spans="1:16" s="49" customFormat="1" x14ac:dyDescent="0.25">
      <c r="A7" s="79"/>
      <c r="B7" s="179" t="s">
        <v>72</v>
      </c>
      <c r="C7" s="177"/>
      <c r="D7" s="112"/>
      <c r="E7" s="99"/>
      <c r="F7" s="99"/>
      <c r="G7" s="99"/>
      <c r="H7" s="99"/>
      <c r="I7" s="112"/>
      <c r="J7" s="99"/>
      <c r="K7" s="99"/>
      <c r="L7" s="99"/>
      <c r="M7" s="135"/>
      <c r="N7" s="140"/>
      <c r="O7" s="106"/>
      <c r="P7" s="96"/>
    </row>
    <row r="8" spans="1:16" s="49" customFormat="1" x14ac:dyDescent="0.25">
      <c r="A8" s="79"/>
      <c r="B8" s="179" t="s">
        <v>86</v>
      </c>
      <c r="C8" s="177"/>
      <c r="D8" s="112"/>
      <c r="E8" s="99"/>
      <c r="F8" s="99"/>
      <c r="G8" s="99"/>
      <c r="H8" s="99"/>
      <c r="I8" s="112"/>
      <c r="J8" s="99"/>
      <c r="K8" s="99"/>
      <c r="L8" s="99"/>
      <c r="M8" s="135"/>
      <c r="N8" s="140"/>
      <c r="O8" s="106"/>
      <c r="P8" s="96"/>
    </row>
    <row r="9" spans="1:16" s="49" customFormat="1" x14ac:dyDescent="0.25">
      <c r="A9" s="79"/>
      <c r="B9" s="337" t="s">
        <v>78</v>
      </c>
      <c r="C9" s="177"/>
      <c r="D9" s="112"/>
      <c r="E9" s="99"/>
      <c r="F9" s="99"/>
      <c r="G9" s="99"/>
      <c r="H9" s="99"/>
      <c r="I9" s="112"/>
      <c r="J9" s="99"/>
      <c r="K9" s="99"/>
      <c r="L9" s="99"/>
      <c r="M9" s="135"/>
      <c r="N9" s="140"/>
      <c r="O9" s="106"/>
      <c r="P9" s="96"/>
    </row>
    <row r="10" spans="1:16" s="49" customFormat="1" x14ac:dyDescent="0.25">
      <c r="A10" s="79"/>
      <c r="B10" s="136"/>
      <c r="C10" s="117"/>
      <c r="D10" s="118"/>
      <c r="E10" s="117"/>
      <c r="F10" s="117"/>
      <c r="G10" s="117"/>
      <c r="H10" s="117"/>
      <c r="I10" s="118"/>
      <c r="J10" s="117"/>
      <c r="K10" s="117"/>
      <c r="L10" s="117"/>
      <c r="M10" s="137"/>
      <c r="N10" s="139"/>
      <c r="O10" s="106"/>
      <c r="P10" s="96"/>
    </row>
    <row r="11" spans="1:16" s="47" customFormat="1" x14ac:dyDescent="0.25">
      <c r="A11" s="48"/>
      <c r="B11" s="111"/>
      <c r="C11" s="86"/>
      <c r="D11" s="162"/>
      <c r="E11" s="86"/>
      <c r="F11" s="86"/>
      <c r="G11" s="86"/>
      <c r="H11" s="86"/>
      <c r="I11" s="162"/>
      <c r="J11" s="86"/>
      <c r="K11" s="86"/>
      <c r="L11" s="86"/>
      <c r="M11" s="163"/>
      <c r="N11" s="164"/>
      <c r="O11" s="113"/>
      <c r="P11" s="95"/>
    </row>
    <row r="12" spans="1:16" s="59" customFormat="1" x14ac:dyDescent="0.25">
      <c r="A12" s="60"/>
      <c r="B12" s="182"/>
      <c r="C12" s="185" t="s">
        <v>69</v>
      </c>
      <c r="D12" s="326"/>
      <c r="E12" s="114"/>
      <c r="F12" s="114"/>
      <c r="G12" s="114"/>
      <c r="H12" s="114"/>
      <c r="I12" s="326"/>
      <c r="J12" s="114"/>
      <c r="K12" s="133"/>
      <c r="L12" s="133"/>
      <c r="M12" s="328" t="s">
        <v>24</v>
      </c>
      <c r="N12" s="188"/>
      <c r="O12" s="98"/>
      <c r="P12" s="95"/>
    </row>
    <row r="13" spans="1:16" s="59" customFormat="1" ht="15" customHeight="1" x14ac:dyDescent="0.25">
      <c r="A13" s="60"/>
      <c r="B13" s="181" t="s">
        <v>17</v>
      </c>
      <c r="C13" s="324"/>
      <c r="D13" s="303">
        <v>1000</v>
      </c>
      <c r="E13" s="130" t="s">
        <v>3</v>
      </c>
      <c r="F13" s="324" t="s">
        <v>22</v>
      </c>
      <c r="G13" s="324"/>
      <c r="H13" s="324"/>
      <c r="I13" s="325"/>
      <c r="J13" s="324"/>
      <c r="K13" s="134"/>
      <c r="L13" s="324"/>
      <c r="M13" s="361" t="s">
        <v>25</v>
      </c>
      <c r="N13" s="362"/>
      <c r="O13" s="113"/>
      <c r="P13" s="95"/>
    </row>
    <row r="14" spans="1:16" s="59" customFormat="1" ht="14.25" customHeight="1" x14ac:dyDescent="0.25">
      <c r="A14" s="60"/>
      <c r="B14" s="329" t="s">
        <v>18</v>
      </c>
      <c r="C14" s="324"/>
      <c r="D14" s="303">
        <v>50</v>
      </c>
      <c r="E14" s="324"/>
      <c r="F14" s="324" t="s">
        <v>89</v>
      </c>
      <c r="G14" s="324"/>
      <c r="H14" s="324"/>
      <c r="I14" s="325"/>
      <c r="J14" s="324"/>
      <c r="K14" s="134"/>
      <c r="L14" s="324"/>
      <c r="M14" s="361"/>
      <c r="N14" s="362"/>
      <c r="O14" s="98"/>
      <c r="P14" s="95"/>
    </row>
    <row r="15" spans="1:16" s="69" customFormat="1" ht="22.5" hidden="1" x14ac:dyDescent="0.25">
      <c r="A15" s="70"/>
      <c r="B15" s="181" t="s">
        <v>64</v>
      </c>
      <c r="C15" s="324"/>
      <c r="D15" s="303">
        <v>50</v>
      </c>
      <c r="E15" s="324"/>
      <c r="F15" s="324" t="s">
        <v>65</v>
      </c>
      <c r="G15" s="324"/>
      <c r="H15" s="324"/>
      <c r="I15" s="325"/>
      <c r="J15" s="324"/>
      <c r="K15" s="134"/>
      <c r="L15" s="134"/>
      <c r="M15" s="322" t="s">
        <v>66</v>
      </c>
      <c r="N15" s="323"/>
      <c r="O15" s="98"/>
      <c r="P15" s="95"/>
    </row>
    <row r="16" spans="1:16" s="234" customFormat="1" x14ac:dyDescent="0.25">
      <c r="A16" s="186"/>
      <c r="B16" s="181"/>
      <c r="C16" s="324"/>
      <c r="D16" s="325"/>
      <c r="E16" s="324"/>
      <c r="F16" s="324"/>
      <c r="G16" s="324"/>
      <c r="H16" s="324"/>
      <c r="I16" s="325"/>
      <c r="J16" s="324"/>
      <c r="K16" s="134"/>
      <c r="L16" s="134"/>
      <c r="M16" s="342"/>
      <c r="N16" s="343"/>
    </row>
    <row r="17" spans="1:16" s="69" customFormat="1" ht="14.25" customHeight="1" x14ac:dyDescent="0.25">
      <c r="A17" s="70"/>
      <c r="B17" s="181"/>
      <c r="C17" s="332" t="s">
        <v>19</v>
      </c>
      <c r="D17" s="325"/>
      <c r="E17" s="324"/>
      <c r="F17" s="324"/>
      <c r="G17" s="324"/>
      <c r="H17" s="324"/>
      <c r="I17" s="325"/>
      <c r="J17" s="324"/>
      <c r="K17" s="134"/>
      <c r="L17" s="134"/>
      <c r="M17" s="357" t="s">
        <v>90</v>
      </c>
      <c r="N17" s="358"/>
      <c r="O17" s="98"/>
      <c r="P17" s="95"/>
    </row>
    <row r="18" spans="1:16" s="69" customFormat="1" ht="23.25" customHeight="1" x14ac:dyDescent="0.25">
      <c r="A18" s="70"/>
      <c r="B18" s="347" t="s">
        <v>87</v>
      </c>
      <c r="C18" s="348"/>
      <c r="D18" s="334">
        <v>150000</v>
      </c>
      <c r="E18" s="365" t="s">
        <v>23</v>
      </c>
      <c r="F18" s="365"/>
      <c r="G18" s="365"/>
      <c r="H18" s="346">
        <f>D18/D14</f>
        <v>3000</v>
      </c>
      <c r="I18" s="325"/>
      <c r="J18" s="345"/>
      <c r="K18" s="134"/>
      <c r="L18" s="134"/>
      <c r="M18" s="357"/>
      <c r="N18" s="358"/>
      <c r="O18" s="98"/>
      <c r="P18" s="95"/>
    </row>
    <row r="19" spans="1:16" s="69" customFormat="1" ht="12" customHeight="1" x14ac:dyDescent="0.25">
      <c r="A19" s="70"/>
      <c r="B19" s="184" t="s">
        <v>75</v>
      </c>
      <c r="C19" s="331"/>
      <c r="D19" s="335">
        <v>0.04</v>
      </c>
      <c r="E19" s="187" t="s">
        <v>88</v>
      </c>
      <c r="F19" s="324"/>
      <c r="G19" s="324"/>
      <c r="H19" s="324"/>
      <c r="I19" s="325"/>
      <c r="J19" s="324"/>
      <c r="K19" s="134"/>
      <c r="L19" s="143">
        <f>D19*D18</f>
        <v>6000</v>
      </c>
      <c r="M19" s="349"/>
      <c r="N19" s="350"/>
      <c r="O19" s="98"/>
      <c r="P19" s="95"/>
    </row>
    <row r="20" spans="1:16" s="59" customFormat="1" x14ac:dyDescent="0.25">
      <c r="A20" s="60"/>
      <c r="B20" s="183"/>
      <c r="C20" s="324"/>
      <c r="D20" s="325"/>
      <c r="E20" s="324"/>
      <c r="F20" s="324"/>
      <c r="G20" s="324"/>
      <c r="H20" s="324"/>
      <c r="I20" s="325"/>
      <c r="J20" s="324"/>
      <c r="K20" s="134"/>
      <c r="L20" s="134"/>
      <c r="M20" s="349"/>
      <c r="N20" s="350"/>
      <c r="O20" s="98"/>
      <c r="P20" s="95"/>
    </row>
    <row r="21" spans="1:16" s="55" customFormat="1" x14ac:dyDescent="0.25">
      <c r="A21" s="56"/>
      <c r="B21" s="183"/>
      <c r="C21" s="332" t="s">
        <v>20</v>
      </c>
      <c r="D21" s="325"/>
      <c r="E21" s="324"/>
      <c r="F21" s="324"/>
      <c r="G21" s="324"/>
      <c r="H21" s="324"/>
      <c r="I21" s="325"/>
      <c r="J21" s="324"/>
      <c r="K21" s="134"/>
      <c r="L21" s="134"/>
      <c r="M21" s="349"/>
      <c r="N21" s="350"/>
      <c r="O21" s="98"/>
      <c r="P21" s="95"/>
    </row>
    <row r="22" spans="1:16" s="53" customFormat="1" ht="24" customHeight="1" x14ac:dyDescent="0.25">
      <c r="A22" s="54"/>
      <c r="B22" s="353" t="s">
        <v>91</v>
      </c>
      <c r="C22" s="354"/>
      <c r="D22" s="336">
        <v>40</v>
      </c>
      <c r="E22" s="243"/>
      <c r="F22" s="243"/>
      <c r="G22" s="324"/>
      <c r="H22" s="324"/>
      <c r="I22" s="325"/>
      <c r="J22" s="324"/>
      <c r="K22" s="134"/>
      <c r="L22" s="134"/>
      <c r="M22" s="349"/>
      <c r="N22" s="350"/>
      <c r="O22" s="98"/>
      <c r="P22" s="95"/>
    </row>
    <row r="23" spans="1:16" s="47" customFormat="1" x14ac:dyDescent="0.25">
      <c r="A23" s="48"/>
      <c r="B23" s="333" t="s">
        <v>21</v>
      </c>
      <c r="C23" s="330"/>
      <c r="D23" s="335">
        <v>0.04</v>
      </c>
      <c r="E23" s="355" t="s">
        <v>80</v>
      </c>
      <c r="F23" s="355"/>
      <c r="G23" s="355"/>
      <c r="H23" s="355"/>
      <c r="I23" s="355"/>
      <c r="J23" s="165"/>
      <c r="K23" s="134"/>
      <c r="L23" s="134"/>
      <c r="M23" s="304"/>
      <c r="N23" s="305"/>
      <c r="O23" s="98"/>
      <c r="P23" s="95"/>
    </row>
    <row r="24" spans="1:16" s="47" customFormat="1" x14ac:dyDescent="0.25">
      <c r="A24" s="48"/>
      <c r="B24" s="116"/>
      <c r="C24" s="117"/>
      <c r="D24" s="327"/>
      <c r="E24" s="356"/>
      <c r="F24" s="356"/>
      <c r="G24" s="356"/>
      <c r="H24" s="356"/>
      <c r="I24" s="356"/>
      <c r="J24" s="117"/>
      <c r="K24" s="144"/>
      <c r="L24" s="144"/>
      <c r="M24" s="306"/>
      <c r="N24" s="307"/>
      <c r="O24" s="98"/>
      <c r="P24" s="95"/>
    </row>
    <row r="25" spans="1:16" s="47" customFormat="1" x14ac:dyDescent="0.25">
      <c r="A25" s="48"/>
      <c r="B25" s="111"/>
      <c r="C25" s="99"/>
      <c r="D25" s="112"/>
      <c r="E25" s="99"/>
      <c r="F25" s="99"/>
      <c r="G25" s="99"/>
      <c r="H25" s="99"/>
      <c r="I25" s="112"/>
      <c r="J25" s="99"/>
      <c r="K25" s="99"/>
      <c r="L25" s="99"/>
      <c r="M25" s="167"/>
      <c r="N25" s="170"/>
      <c r="O25" s="98"/>
      <c r="P25" s="95"/>
    </row>
    <row r="26" spans="1:16" ht="15" x14ac:dyDescent="0.25">
      <c r="A26" s="7"/>
      <c r="B26" s="111"/>
      <c r="C26" s="99"/>
      <c r="D26" s="112"/>
      <c r="E26" s="99"/>
      <c r="F26" s="99"/>
      <c r="G26" s="99"/>
      <c r="H26" s="99"/>
      <c r="I26" s="112"/>
      <c r="J26" s="99"/>
      <c r="K26" s="99"/>
      <c r="L26" s="99"/>
      <c r="M26" s="167"/>
      <c r="N26" s="166"/>
      <c r="O26" s="97"/>
      <c r="P26" s="95"/>
    </row>
    <row r="27" spans="1:16" ht="15" x14ac:dyDescent="0.25">
      <c r="B27" s="223" t="s">
        <v>76</v>
      </c>
      <c r="C27" s="201"/>
      <c r="D27" s="202"/>
      <c r="E27" s="201"/>
      <c r="F27" s="202"/>
      <c r="G27" s="202"/>
      <c r="H27" s="202"/>
      <c r="I27" s="203"/>
      <c r="J27" s="203"/>
      <c r="K27" s="119"/>
      <c r="L27" s="119"/>
      <c r="M27" s="232" t="s">
        <v>24</v>
      </c>
      <c r="N27" s="231"/>
      <c r="O27" s="97"/>
      <c r="P27" s="95"/>
    </row>
    <row r="28" spans="1:16" ht="15" x14ac:dyDescent="0.25">
      <c r="B28" s="225"/>
      <c r="C28" s="226" t="s">
        <v>26</v>
      </c>
      <c r="D28" s="196"/>
      <c r="E28" s="195"/>
      <c r="F28" s="195"/>
      <c r="G28" s="195"/>
      <c r="H28" s="198"/>
      <c r="I28" s="192"/>
      <c r="J28" s="221" t="s">
        <v>27</v>
      </c>
      <c r="K28" s="124"/>
      <c r="L28" s="105"/>
      <c r="M28" s="308"/>
      <c r="N28" s="309"/>
      <c r="O28" s="97"/>
      <c r="P28" s="95"/>
    </row>
    <row r="29" spans="1:16" ht="23.25" customHeight="1" x14ac:dyDescent="0.25">
      <c r="B29" s="265" t="s">
        <v>74</v>
      </c>
      <c r="C29" s="224"/>
      <c r="D29" s="319">
        <v>25</v>
      </c>
      <c r="E29" s="206" t="s">
        <v>28</v>
      </c>
      <c r="F29" s="189"/>
      <c r="G29" s="189"/>
      <c r="H29" s="212" t="s">
        <v>29</v>
      </c>
      <c r="I29" s="299">
        <v>0.01</v>
      </c>
      <c r="J29" s="293">
        <v>0.02</v>
      </c>
      <c r="K29" s="142"/>
      <c r="L29" s="121">
        <f>D29*D13</f>
        <v>25000</v>
      </c>
      <c r="M29" s="363"/>
      <c r="N29" s="364"/>
      <c r="O29" s="97"/>
      <c r="P29" s="95"/>
    </row>
    <row r="30" spans="1:16" ht="15.6" customHeight="1" x14ac:dyDescent="0.25">
      <c r="B30" s="222" t="s">
        <v>30</v>
      </c>
      <c r="C30" s="224"/>
      <c r="D30" s="302">
        <v>20</v>
      </c>
      <c r="E30" s="207" t="s">
        <v>31</v>
      </c>
      <c r="F30" s="299">
        <v>1</v>
      </c>
      <c r="G30" s="191" t="s">
        <v>32</v>
      </c>
      <c r="H30" s="212" t="s">
        <v>29</v>
      </c>
      <c r="I30" s="217">
        <f>I29</f>
        <v>0.01</v>
      </c>
      <c r="J30" s="197">
        <f>J29</f>
        <v>0.02</v>
      </c>
      <c r="K30" s="124"/>
      <c r="L30" s="121">
        <f>L29*F30</f>
        <v>25000</v>
      </c>
      <c r="M30" s="349" t="s">
        <v>44</v>
      </c>
      <c r="N30" s="350"/>
      <c r="O30" s="107"/>
      <c r="P30" s="95"/>
    </row>
    <row r="31" spans="1:16" ht="15" customHeight="1" x14ac:dyDescent="0.25">
      <c r="B31" s="222" t="s">
        <v>30</v>
      </c>
      <c r="C31" s="224"/>
      <c r="D31" s="302">
        <v>0</v>
      </c>
      <c r="E31" s="207" t="s">
        <v>31</v>
      </c>
      <c r="F31" s="299">
        <v>0</v>
      </c>
      <c r="G31" s="191" t="s">
        <v>32</v>
      </c>
      <c r="H31" s="212" t="s">
        <v>29</v>
      </c>
      <c r="I31" s="217">
        <f>I29</f>
        <v>0.01</v>
      </c>
      <c r="J31" s="197">
        <f>J29</f>
        <v>0.02</v>
      </c>
      <c r="K31" s="124"/>
      <c r="L31" s="121">
        <f>L29*F31</f>
        <v>0</v>
      </c>
      <c r="M31" s="349"/>
      <c r="N31" s="350"/>
      <c r="O31" s="97"/>
      <c r="P31" s="95"/>
    </row>
    <row r="32" spans="1:16" ht="15" x14ac:dyDescent="0.25">
      <c r="B32" s="222" t="s">
        <v>30</v>
      </c>
      <c r="C32" s="224"/>
      <c r="D32" s="302">
        <v>0</v>
      </c>
      <c r="E32" s="207" t="s">
        <v>31</v>
      </c>
      <c r="F32" s="299">
        <v>0</v>
      </c>
      <c r="G32" s="191" t="s">
        <v>32</v>
      </c>
      <c r="H32" s="212" t="s">
        <v>29</v>
      </c>
      <c r="I32" s="217">
        <f>I29</f>
        <v>0.01</v>
      </c>
      <c r="J32" s="197">
        <f>J29</f>
        <v>0.02</v>
      </c>
      <c r="K32" s="124"/>
      <c r="L32" s="121">
        <f>L29*F32</f>
        <v>0</v>
      </c>
      <c r="M32" s="363"/>
      <c r="N32" s="364"/>
      <c r="O32" s="97"/>
      <c r="P32" s="95"/>
    </row>
    <row r="33" spans="2:16" ht="15" x14ac:dyDescent="0.25">
      <c r="B33" s="205"/>
      <c r="C33" s="195"/>
      <c r="D33" s="199"/>
      <c r="E33" s="208"/>
      <c r="F33" s="200"/>
      <c r="G33" s="195"/>
      <c r="H33" s="198"/>
      <c r="I33" s="189"/>
      <c r="J33" s="198"/>
      <c r="K33" s="124"/>
      <c r="L33" s="125"/>
      <c r="M33" s="310"/>
      <c r="N33" s="309"/>
      <c r="O33" s="97"/>
      <c r="P33" s="95"/>
    </row>
    <row r="34" spans="2:16" ht="15" x14ac:dyDescent="0.25">
      <c r="B34" s="204"/>
      <c r="C34" s="221" t="s">
        <v>33</v>
      </c>
      <c r="D34" s="195"/>
      <c r="E34" s="195"/>
      <c r="F34" s="195"/>
      <c r="G34" s="195"/>
      <c r="H34" s="210"/>
      <c r="I34" s="189"/>
      <c r="J34" s="189"/>
      <c r="K34" s="124"/>
      <c r="L34" s="127"/>
      <c r="M34" s="310"/>
      <c r="N34" s="309"/>
      <c r="O34" s="97"/>
      <c r="P34" s="95"/>
    </row>
    <row r="35" spans="2:16" ht="15" x14ac:dyDescent="0.25">
      <c r="B35" s="222" t="s">
        <v>34</v>
      </c>
      <c r="C35" s="230"/>
      <c r="D35" s="321">
        <v>0</v>
      </c>
      <c r="E35" s="206" t="s">
        <v>28</v>
      </c>
      <c r="F35" s="195"/>
      <c r="G35" s="189"/>
      <c r="H35" s="213"/>
      <c r="I35" s="189"/>
      <c r="J35" s="293">
        <v>0.02</v>
      </c>
      <c r="K35" s="124"/>
      <c r="L35" s="121">
        <f>D35*D13</f>
        <v>0</v>
      </c>
      <c r="M35" s="312"/>
      <c r="N35" s="309"/>
      <c r="O35" s="97"/>
      <c r="P35" s="95"/>
    </row>
    <row r="36" spans="2:16" ht="25.5" customHeight="1" x14ac:dyDescent="0.25">
      <c r="B36" s="347" t="s">
        <v>92</v>
      </c>
      <c r="C36" s="348"/>
      <c r="D36" s="300">
        <v>20</v>
      </c>
      <c r="E36" s="207" t="s">
        <v>31</v>
      </c>
      <c r="F36" s="299">
        <v>0.5</v>
      </c>
      <c r="G36" s="191" t="s">
        <v>32</v>
      </c>
      <c r="H36" s="213"/>
      <c r="I36" s="189"/>
      <c r="J36" s="198"/>
      <c r="K36" s="124"/>
      <c r="L36" s="121">
        <f>F36*L29</f>
        <v>12500</v>
      </c>
      <c r="M36" s="351"/>
      <c r="N36" s="352"/>
      <c r="O36" s="97"/>
      <c r="P36" s="95"/>
    </row>
    <row r="37" spans="2:16" ht="15" x14ac:dyDescent="0.25">
      <c r="B37" s="220" t="s">
        <v>35</v>
      </c>
      <c r="C37" s="224"/>
      <c r="D37" s="301"/>
      <c r="E37" s="206" t="s">
        <v>28</v>
      </c>
      <c r="F37" s="195"/>
      <c r="G37" s="189"/>
      <c r="H37" s="200"/>
      <c r="I37" s="189"/>
      <c r="J37" s="293">
        <v>2.5000000000000001E-2</v>
      </c>
      <c r="K37" s="124"/>
      <c r="L37" s="121">
        <f>D37*D13</f>
        <v>0</v>
      </c>
      <c r="M37" s="351"/>
      <c r="N37" s="352"/>
      <c r="O37" s="97"/>
      <c r="P37" s="95"/>
    </row>
    <row r="38" spans="2:16" ht="15" x14ac:dyDescent="0.25">
      <c r="B38" s="209"/>
      <c r="C38" s="195"/>
      <c r="D38" s="211"/>
      <c r="E38" s="194"/>
      <c r="F38" s="189"/>
      <c r="G38" s="195"/>
      <c r="H38" s="198"/>
      <c r="I38" s="189"/>
      <c r="J38" s="197"/>
      <c r="K38" s="124"/>
      <c r="L38" s="127"/>
      <c r="M38" s="310"/>
      <c r="N38" s="309"/>
      <c r="O38" s="97"/>
      <c r="P38" s="95"/>
    </row>
    <row r="39" spans="2:16" s="46" customFormat="1" x14ac:dyDescent="0.25">
      <c r="B39" s="209"/>
      <c r="C39" s="195"/>
      <c r="D39" s="366" t="s">
        <v>36</v>
      </c>
      <c r="E39" s="366"/>
      <c r="F39" s="227" t="s">
        <v>37</v>
      </c>
      <c r="G39" s="190"/>
      <c r="H39" s="210"/>
      <c r="I39" s="190"/>
      <c r="J39" s="197"/>
      <c r="K39" s="124"/>
      <c r="L39" s="127"/>
      <c r="M39" s="310"/>
      <c r="N39" s="309"/>
      <c r="O39" s="98"/>
      <c r="P39" s="95"/>
    </row>
    <row r="40" spans="2:16" ht="15" x14ac:dyDescent="0.25">
      <c r="B40" s="250" t="s">
        <v>61</v>
      </c>
      <c r="C40" s="195"/>
      <c r="D40" s="296">
        <v>0</v>
      </c>
      <c r="E40" s="216" t="s">
        <v>1</v>
      </c>
      <c r="F40" s="297">
        <v>0.4481</v>
      </c>
      <c r="G40" s="219" t="s">
        <v>73</v>
      </c>
      <c r="H40" s="213"/>
      <c r="I40" s="189"/>
      <c r="J40" s="293">
        <v>0.04</v>
      </c>
      <c r="K40" s="124"/>
      <c r="L40" s="121">
        <f>D40*F40</f>
        <v>0</v>
      </c>
      <c r="M40" s="310"/>
      <c r="N40" s="311"/>
      <c r="O40" s="97"/>
      <c r="P40" s="95"/>
    </row>
    <row r="41" spans="2:16" ht="15" customHeight="1" x14ac:dyDescent="0.25">
      <c r="B41" s="250" t="s">
        <v>62</v>
      </c>
      <c r="C41" s="195"/>
      <c r="D41" s="296">
        <v>0</v>
      </c>
      <c r="E41" s="216" t="s">
        <v>1</v>
      </c>
      <c r="F41" s="297">
        <v>1.1599999999999999</v>
      </c>
      <c r="G41" s="219" t="s">
        <v>73</v>
      </c>
      <c r="H41" s="198"/>
      <c r="I41" s="189"/>
      <c r="J41" s="298">
        <v>0.01</v>
      </c>
      <c r="K41" s="124"/>
      <c r="L41" s="121">
        <f t="shared" ref="L41" si="0">D41*F41</f>
        <v>0</v>
      </c>
      <c r="M41" s="310"/>
      <c r="N41" s="311"/>
      <c r="O41" s="97"/>
      <c r="P41" s="95"/>
    </row>
    <row r="42" spans="2:16" ht="22.5" x14ac:dyDescent="0.25">
      <c r="B42" s="250" t="s">
        <v>63</v>
      </c>
      <c r="C42" s="193"/>
      <c r="D42" s="296">
        <v>12</v>
      </c>
      <c r="E42" s="216" t="s">
        <v>2</v>
      </c>
      <c r="F42" s="297">
        <v>9.5699999999999993E-2</v>
      </c>
      <c r="G42" s="219" t="s">
        <v>73</v>
      </c>
      <c r="H42" s="198"/>
      <c r="I42" s="189"/>
      <c r="J42" s="298">
        <v>0.01</v>
      </c>
      <c r="K42" s="124"/>
      <c r="L42" s="121">
        <f>D42*F42*D13</f>
        <v>1148.3999999999999</v>
      </c>
      <c r="M42" s="344" t="s">
        <v>98</v>
      </c>
      <c r="N42" s="309"/>
      <c r="O42" s="97"/>
      <c r="P42" s="95"/>
    </row>
    <row r="43" spans="2:16" ht="15" x14ac:dyDescent="0.25">
      <c r="B43" s="204"/>
      <c r="C43" s="195"/>
      <c r="D43" s="189"/>
      <c r="E43" s="189"/>
      <c r="F43" s="189"/>
      <c r="G43" s="195"/>
      <c r="H43" s="198"/>
      <c r="I43" s="189"/>
      <c r="J43" s="192"/>
      <c r="K43" s="124"/>
      <c r="L43" s="120"/>
      <c r="M43" s="310"/>
      <c r="N43" s="309"/>
      <c r="O43" s="97"/>
      <c r="P43" s="95"/>
    </row>
    <row r="44" spans="2:16" ht="15" x14ac:dyDescent="0.25">
      <c r="B44" s="204"/>
      <c r="C44" s="221" t="s">
        <v>38</v>
      </c>
      <c r="D44" s="195"/>
      <c r="E44" s="195"/>
      <c r="F44" s="195"/>
      <c r="G44" s="195"/>
      <c r="H44" s="195"/>
      <c r="I44" s="189"/>
      <c r="J44" s="195"/>
      <c r="K44" s="124"/>
      <c r="L44" s="125"/>
      <c r="M44" s="310"/>
      <c r="N44" s="309"/>
      <c r="O44" s="97"/>
      <c r="P44" s="95"/>
    </row>
    <row r="45" spans="2:16" ht="15" x14ac:dyDescent="0.25">
      <c r="B45" s="228" t="s">
        <v>39</v>
      </c>
      <c r="C45" s="206"/>
      <c r="D45" s="294">
        <v>0</v>
      </c>
      <c r="E45" s="229" t="s">
        <v>40</v>
      </c>
      <c r="F45" s="195"/>
      <c r="G45" s="195"/>
      <c r="H45" s="195"/>
      <c r="I45" s="189"/>
      <c r="J45" s="195"/>
      <c r="K45" s="124"/>
      <c r="L45" s="124"/>
      <c r="M45" s="310"/>
      <c r="N45" s="309"/>
      <c r="O45" s="97"/>
      <c r="P45" s="95"/>
    </row>
    <row r="46" spans="2:16" ht="15" x14ac:dyDescent="0.25">
      <c r="B46" s="228" t="s">
        <v>41</v>
      </c>
      <c r="C46" s="206"/>
      <c r="D46" s="294">
        <v>0</v>
      </c>
      <c r="E46" s="229" t="s">
        <v>42</v>
      </c>
      <c r="F46" s="195"/>
      <c r="G46" s="195"/>
      <c r="H46" s="195"/>
      <c r="I46" s="189"/>
      <c r="J46" s="293">
        <v>0.01</v>
      </c>
      <c r="K46" s="124"/>
      <c r="L46" s="124"/>
      <c r="M46" s="310"/>
      <c r="N46" s="309"/>
      <c r="O46" s="97"/>
      <c r="P46" s="95"/>
    </row>
    <row r="47" spans="2:16" ht="15" x14ac:dyDescent="0.25">
      <c r="B47" s="214" t="s">
        <v>43</v>
      </c>
      <c r="C47" s="195"/>
      <c r="D47" s="295">
        <v>40</v>
      </c>
      <c r="E47" s="208"/>
      <c r="F47" s="189"/>
      <c r="G47" s="215"/>
      <c r="H47" s="193"/>
      <c r="I47" s="189"/>
      <c r="J47" s="218"/>
      <c r="K47" s="124"/>
      <c r="L47" s="132">
        <f>SUMPRODUCT(L30:L32,I30:I32)</f>
        <v>250</v>
      </c>
      <c r="M47" s="344"/>
      <c r="N47" s="309"/>
      <c r="O47" s="106"/>
      <c r="P47" s="95"/>
    </row>
    <row r="48" spans="2:16" x14ac:dyDescent="0.25">
      <c r="B48" s="108"/>
      <c r="C48" s="109"/>
      <c r="D48" s="109"/>
      <c r="E48" s="109"/>
      <c r="F48" s="109"/>
      <c r="G48" s="109"/>
      <c r="H48" s="109"/>
      <c r="I48" s="110"/>
      <c r="J48" s="110"/>
      <c r="K48" s="129"/>
      <c r="L48" s="126"/>
      <c r="M48" s="313"/>
      <c r="N48" s="314"/>
      <c r="O48" s="106"/>
      <c r="P48" s="95"/>
    </row>
    <row r="49" spans="2:16" ht="15" x14ac:dyDescent="0.25">
      <c r="B49" s="101"/>
      <c r="C49" s="103"/>
      <c r="D49" s="104"/>
      <c r="E49" s="102"/>
      <c r="F49" s="97"/>
      <c r="G49" s="97"/>
      <c r="H49" s="97"/>
      <c r="I49" s="106"/>
      <c r="J49" s="101"/>
      <c r="K49" s="100"/>
      <c r="L49" s="100"/>
      <c r="M49" s="168"/>
      <c r="N49" s="169"/>
      <c r="O49" s="106"/>
      <c r="P49" s="95"/>
    </row>
    <row r="50" spans="2:16" x14ac:dyDescent="0.25">
      <c r="B50" s="266" t="s">
        <v>77</v>
      </c>
      <c r="C50" s="246"/>
      <c r="D50" s="247"/>
      <c r="E50" s="246"/>
      <c r="F50" s="247"/>
      <c r="G50" s="247"/>
      <c r="H50" s="247"/>
      <c r="I50" s="248"/>
      <c r="J50" s="248"/>
      <c r="K50" s="119"/>
      <c r="L50" s="119"/>
      <c r="M50" s="275" t="s">
        <v>24</v>
      </c>
      <c r="N50" s="274"/>
      <c r="O50" s="106"/>
      <c r="P50" s="105"/>
    </row>
    <row r="51" spans="2:16" ht="15" x14ac:dyDescent="0.25">
      <c r="B51" s="268"/>
      <c r="C51" s="269" t="s">
        <v>26</v>
      </c>
      <c r="D51" s="241"/>
      <c r="E51" s="239"/>
      <c r="F51" s="239"/>
      <c r="G51" s="239"/>
      <c r="H51" s="239"/>
      <c r="I51" s="236"/>
      <c r="J51" s="264" t="s">
        <v>27</v>
      </c>
      <c r="K51" s="120"/>
      <c r="L51" s="120"/>
      <c r="M51" s="315"/>
      <c r="N51" s="316"/>
      <c r="O51" s="106"/>
      <c r="P51" s="97"/>
    </row>
    <row r="52" spans="2:16" ht="15" customHeight="1" x14ac:dyDescent="0.25">
      <c r="B52" s="265" t="s">
        <v>74</v>
      </c>
      <c r="C52" s="267"/>
      <c r="D52" s="320">
        <v>65</v>
      </c>
      <c r="E52" s="261" t="s">
        <v>28</v>
      </c>
      <c r="F52" s="234"/>
      <c r="G52" s="233"/>
      <c r="H52" s="255" t="s">
        <v>29</v>
      </c>
      <c r="I52" s="288">
        <v>0.02</v>
      </c>
      <c r="J52" s="242">
        <v>0.02</v>
      </c>
      <c r="K52" s="120"/>
      <c r="L52" s="121">
        <f>D52*D13</f>
        <v>65000</v>
      </c>
      <c r="M52" s="349" t="s">
        <v>96</v>
      </c>
      <c r="N52" s="350"/>
      <c r="O52" s="106"/>
      <c r="P52" s="97"/>
    </row>
    <row r="53" spans="2:16" ht="15" x14ac:dyDescent="0.25">
      <c r="B53" s="265" t="s">
        <v>45</v>
      </c>
      <c r="C53" s="267"/>
      <c r="D53" s="292">
        <v>20</v>
      </c>
      <c r="E53" s="273" t="s">
        <v>31</v>
      </c>
      <c r="F53" s="288">
        <v>1</v>
      </c>
      <c r="G53" s="235" t="s">
        <v>32</v>
      </c>
      <c r="H53" s="255" t="s">
        <v>29</v>
      </c>
      <c r="I53" s="262">
        <f>I52</f>
        <v>0.02</v>
      </c>
      <c r="J53" s="242">
        <v>0.02</v>
      </c>
      <c r="K53" s="127"/>
      <c r="L53" s="121">
        <f>L52*F53</f>
        <v>65000</v>
      </c>
      <c r="M53" s="349"/>
      <c r="N53" s="350"/>
      <c r="O53" s="106"/>
      <c r="P53" s="97"/>
    </row>
    <row r="54" spans="2:16" ht="15" x14ac:dyDescent="0.25">
      <c r="B54" s="265" t="s">
        <v>45</v>
      </c>
      <c r="C54" s="267"/>
      <c r="D54" s="292">
        <v>0</v>
      </c>
      <c r="E54" s="273" t="s">
        <v>31</v>
      </c>
      <c r="F54" s="288">
        <v>0</v>
      </c>
      <c r="G54" s="235" t="s">
        <v>32</v>
      </c>
      <c r="H54" s="255" t="s">
        <v>29</v>
      </c>
      <c r="I54" s="262">
        <f>I52</f>
        <v>0.02</v>
      </c>
      <c r="J54" s="242">
        <v>0.02</v>
      </c>
      <c r="K54" s="127"/>
      <c r="L54" s="122">
        <f>L52*F54</f>
        <v>0</v>
      </c>
      <c r="M54" s="349"/>
      <c r="N54" s="350"/>
      <c r="O54" s="106"/>
      <c r="P54" s="97"/>
    </row>
    <row r="55" spans="2:16" ht="15" x14ac:dyDescent="0.25">
      <c r="B55" s="265" t="s">
        <v>45</v>
      </c>
      <c r="C55" s="267"/>
      <c r="D55" s="292">
        <v>0</v>
      </c>
      <c r="E55" s="273" t="s">
        <v>31</v>
      </c>
      <c r="F55" s="288">
        <v>0</v>
      </c>
      <c r="G55" s="235" t="s">
        <v>32</v>
      </c>
      <c r="H55" s="255" t="s">
        <v>29</v>
      </c>
      <c r="I55" s="262">
        <f>I52</f>
        <v>0.02</v>
      </c>
      <c r="J55" s="242">
        <v>0.02</v>
      </c>
      <c r="K55" s="127"/>
      <c r="L55" s="122">
        <f>L52*F55</f>
        <v>0</v>
      </c>
      <c r="M55" s="349"/>
      <c r="N55" s="350"/>
      <c r="O55" s="106"/>
      <c r="P55" s="97"/>
    </row>
    <row r="56" spans="2:16" ht="15" x14ac:dyDescent="0.25">
      <c r="B56" s="250"/>
      <c r="C56" s="239"/>
      <c r="D56" s="244"/>
      <c r="E56" s="252"/>
      <c r="F56" s="245"/>
      <c r="G56" s="239"/>
      <c r="H56" s="239"/>
      <c r="I56" s="233"/>
      <c r="J56" s="240"/>
      <c r="K56" s="128"/>
      <c r="L56" s="123"/>
      <c r="M56" s="317"/>
      <c r="N56" s="316"/>
      <c r="O56" s="106"/>
      <c r="P56" s="97"/>
    </row>
    <row r="57" spans="2:16" ht="15" x14ac:dyDescent="0.25">
      <c r="B57" s="268"/>
      <c r="C57" s="264" t="s">
        <v>33</v>
      </c>
      <c r="D57" s="239"/>
      <c r="E57" s="239"/>
      <c r="F57" s="239"/>
      <c r="G57" s="239"/>
      <c r="H57" s="239"/>
      <c r="I57" s="233"/>
      <c r="J57" s="242">
        <v>0.02</v>
      </c>
      <c r="K57" s="127"/>
      <c r="L57" s="122"/>
      <c r="M57" s="317"/>
      <c r="N57" s="316"/>
      <c r="O57" s="106"/>
      <c r="P57" s="97"/>
    </row>
    <row r="58" spans="2:16" ht="15" customHeight="1" x14ac:dyDescent="0.25">
      <c r="B58" s="265" t="s">
        <v>34</v>
      </c>
      <c r="C58" s="272"/>
      <c r="D58" s="289">
        <v>0</v>
      </c>
      <c r="E58" s="259" t="s">
        <v>46</v>
      </c>
      <c r="F58" s="239"/>
      <c r="G58" s="239"/>
      <c r="H58" s="239"/>
      <c r="I58" s="233"/>
      <c r="J58" s="243"/>
      <c r="K58" s="120"/>
      <c r="L58" s="131">
        <f>D58*D13</f>
        <v>0</v>
      </c>
      <c r="M58" s="351"/>
      <c r="N58" s="352"/>
      <c r="O58" s="97"/>
      <c r="P58" s="97"/>
    </row>
    <row r="59" spans="2:16" ht="27" customHeight="1" x14ac:dyDescent="0.25">
      <c r="B59" s="347" t="s">
        <v>92</v>
      </c>
      <c r="C59" s="348"/>
      <c r="D59" s="290">
        <v>20</v>
      </c>
      <c r="E59" s="251" t="s">
        <v>31</v>
      </c>
      <c r="F59" s="288">
        <v>0.2</v>
      </c>
      <c r="G59" s="235" t="s">
        <v>32</v>
      </c>
      <c r="H59" s="239"/>
      <c r="I59" s="233"/>
      <c r="J59" s="242">
        <v>2.5000000000000001E-2</v>
      </c>
      <c r="K59" s="120"/>
      <c r="L59" s="131">
        <f>F59*L52</f>
        <v>13000</v>
      </c>
      <c r="M59" s="351"/>
      <c r="N59" s="352"/>
      <c r="O59" s="97"/>
      <c r="P59" s="97"/>
    </row>
    <row r="60" spans="2:16" ht="15" x14ac:dyDescent="0.25">
      <c r="B60" s="263" t="s">
        <v>35</v>
      </c>
      <c r="C60" s="267"/>
      <c r="D60" s="291"/>
      <c r="E60" s="259" t="s">
        <v>46</v>
      </c>
      <c r="F60" s="239"/>
      <c r="G60" s="239"/>
      <c r="H60" s="239"/>
      <c r="I60" s="233"/>
      <c r="J60" s="242"/>
      <c r="K60" s="127"/>
      <c r="L60" s="131">
        <f>D60*D13</f>
        <v>0</v>
      </c>
      <c r="M60" s="351"/>
      <c r="N60" s="352"/>
      <c r="O60" s="97"/>
      <c r="P60" s="97"/>
    </row>
    <row r="61" spans="2:16" s="47" customFormat="1" x14ac:dyDescent="0.25">
      <c r="B61" s="253"/>
      <c r="C61" s="239"/>
      <c r="D61" s="245"/>
      <c r="E61" s="238"/>
      <c r="F61" s="243"/>
      <c r="G61" s="243"/>
      <c r="H61" s="243"/>
      <c r="I61" s="234"/>
      <c r="J61" s="242"/>
      <c r="K61" s="127"/>
      <c r="L61" s="122"/>
      <c r="M61" s="317"/>
      <c r="N61" s="309"/>
      <c r="O61" s="98"/>
      <c r="P61" s="145"/>
    </row>
    <row r="62" spans="2:16" ht="15" x14ac:dyDescent="0.25">
      <c r="B62" s="265" t="s">
        <v>47</v>
      </c>
      <c r="C62" s="239"/>
      <c r="D62" s="288">
        <v>1</v>
      </c>
      <c r="E62" s="271" t="s">
        <v>48</v>
      </c>
      <c r="F62" s="257"/>
      <c r="G62" s="258"/>
      <c r="H62" s="258"/>
      <c r="I62" s="233"/>
      <c r="J62" s="242">
        <v>0.04</v>
      </c>
      <c r="K62" s="124"/>
      <c r="L62" s="121">
        <f>D62*L40</f>
        <v>0</v>
      </c>
      <c r="M62" s="317"/>
      <c r="N62" s="309"/>
      <c r="O62" s="97"/>
      <c r="P62" s="97"/>
    </row>
    <row r="63" spans="2:16" ht="15" x14ac:dyDescent="0.25">
      <c r="B63" s="265" t="s">
        <v>49</v>
      </c>
      <c r="C63" s="239"/>
      <c r="D63" s="288">
        <v>1</v>
      </c>
      <c r="E63" s="271" t="s">
        <v>48</v>
      </c>
      <c r="F63" s="257"/>
      <c r="G63" s="243"/>
      <c r="H63" s="243"/>
      <c r="I63" s="233"/>
      <c r="J63" s="254">
        <v>0.01</v>
      </c>
      <c r="K63" s="124"/>
      <c r="L63" s="121">
        <f t="shared" ref="L63" si="1">D63*L41</f>
        <v>0</v>
      </c>
      <c r="M63" s="310"/>
      <c r="N63" s="309"/>
      <c r="O63" s="97"/>
      <c r="P63" s="97"/>
    </row>
    <row r="64" spans="2:16" ht="15" customHeight="1" x14ac:dyDescent="0.25">
      <c r="B64" s="265" t="s">
        <v>50</v>
      </c>
      <c r="C64" s="237"/>
      <c r="D64" s="288">
        <v>1.1000000000000001</v>
      </c>
      <c r="E64" s="271" t="s">
        <v>48</v>
      </c>
      <c r="F64" s="257"/>
      <c r="G64" s="243"/>
      <c r="H64" s="243"/>
      <c r="I64" s="233"/>
      <c r="J64" s="254">
        <v>0.01</v>
      </c>
      <c r="K64" s="124"/>
      <c r="L64" s="121">
        <f>D64*L42</f>
        <v>1263.24</v>
      </c>
      <c r="M64" s="349" t="s">
        <v>99</v>
      </c>
      <c r="N64" s="350"/>
      <c r="O64" s="97"/>
      <c r="P64" s="97"/>
    </row>
    <row r="65" spans="2:16" ht="15" x14ac:dyDescent="0.25">
      <c r="B65" s="249"/>
      <c r="C65" s="239"/>
      <c r="D65" s="239"/>
      <c r="E65" s="239"/>
      <c r="F65" s="239"/>
      <c r="G65" s="239"/>
      <c r="H65" s="239"/>
      <c r="I65" s="233"/>
      <c r="J65" s="243"/>
      <c r="K65" s="124"/>
      <c r="L65" s="124"/>
      <c r="M65" s="349"/>
      <c r="N65" s="350"/>
      <c r="O65" s="97"/>
      <c r="P65" s="97"/>
    </row>
    <row r="66" spans="2:16" ht="15" x14ac:dyDescent="0.25">
      <c r="B66" s="265"/>
      <c r="C66" s="264" t="s">
        <v>38</v>
      </c>
      <c r="D66" s="239"/>
      <c r="E66" s="239"/>
      <c r="F66" s="239"/>
      <c r="G66" s="239"/>
      <c r="H66" s="239"/>
      <c r="I66" s="233"/>
      <c r="J66" s="243"/>
      <c r="K66" s="124"/>
      <c r="L66" s="125"/>
      <c r="M66" s="310"/>
      <c r="N66" s="309"/>
      <c r="O66" s="95"/>
      <c r="P66" s="95"/>
    </row>
    <row r="67" spans="2:16" ht="15" x14ac:dyDescent="0.25">
      <c r="B67" s="270" t="s">
        <v>39</v>
      </c>
      <c r="C67" s="272"/>
      <c r="D67" s="286">
        <v>0</v>
      </c>
      <c r="E67" s="271" t="s">
        <v>40</v>
      </c>
      <c r="F67" s="239"/>
      <c r="G67" s="239"/>
      <c r="H67" s="239"/>
      <c r="I67" s="233"/>
      <c r="J67" s="260"/>
      <c r="K67" s="105"/>
      <c r="L67" s="124"/>
      <c r="M67" s="318"/>
      <c r="N67" s="309"/>
      <c r="O67" s="95"/>
      <c r="P67" s="95"/>
    </row>
    <row r="68" spans="2:16" ht="15" x14ac:dyDescent="0.25">
      <c r="B68" s="270" t="s">
        <v>41</v>
      </c>
      <c r="C68" s="272"/>
      <c r="D68" s="286">
        <v>0</v>
      </c>
      <c r="E68" s="271" t="s">
        <v>42</v>
      </c>
      <c r="F68" s="239"/>
      <c r="G68" s="239"/>
      <c r="H68" s="239"/>
      <c r="I68" s="233"/>
      <c r="J68" s="242">
        <v>0.01</v>
      </c>
      <c r="K68" s="105"/>
      <c r="L68" s="124"/>
      <c r="M68" s="349" t="s">
        <v>97</v>
      </c>
      <c r="N68" s="350"/>
      <c r="O68" s="95"/>
      <c r="P68" s="95"/>
    </row>
    <row r="69" spans="2:16" ht="15" x14ac:dyDescent="0.25">
      <c r="B69" s="256" t="s">
        <v>43</v>
      </c>
      <c r="C69" s="239"/>
      <c r="D69" s="287">
        <v>40</v>
      </c>
      <c r="E69" s="251"/>
      <c r="F69" s="233"/>
      <c r="G69" s="237"/>
      <c r="H69" s="237"/>
      <c r="I69" s="233"/>
      <c r="J69" s="242"/>
      <c r="K69" s="105"/>
      <c r="L69" s="132">
        <f>SUMPRODUCT(L53:L55,I53:I55)</f>
        <v>1300</v>
      </c>
      <c r="M69" s="349"/>
      <c r="N69" s="350"/>
      <c r="O69" s="95"/>
      <c r="P69" s="95"/>
    </row>
    <row r="70" spans="2:16" x14ac:dyDescent="0.25">
      <c r="B70" s="108"/>
      <c r="C70" s="109"/>
      <c r="D70" s="109"/>
      <c r="E70" s="109"/>
      <c r="F70" s="109"/>
      <c r="G70" s="109"/>
      <c r="H70" s="109"/>
      <c r="I70" s="110"/>
      <c r="J70" s="110"/>
      <c r="K70" s="110"/>
      <c r="L70" s="126"/>
      <c r="M70" s="359"/>
      <c r="N70" s="360"/>
      <c r="O70" s="95"/>
      <c r="P70" s="95"/>
    </row>
  </sheetData>
  <sheetProtection password="CA4B" sheet="1" objects="1" scenarios="1"/>
  <mergeCells count="19">
    <mergeCell ref="M68:N70"/>
    <mergeCell ref="M13:N14"/>
    <mergeCell ref="M29:N29"/>
    <mergeCell ref="E18:G18"/>
    <mergeCell ref="D39:E39"/>
    <mergeCell ref="M64:N65"/>
    <mergeCell ref="M32:N32"/>
    <mergeCell ref="M30:N31"/>
    <mergeCell ref="B18:C18"/>
    <mergeCell ref="B22:C22"/>
    <mergeCell ref="M19:N22"/>
    <mergeCell ref="E23:I24"/>
    <mergeCell ref="M17:N18"/>
    <mergeCell ref="B59:C59"/>
    <mergeCell ref="M54:N55"/>
    <mergeCell ref="M52:N53"/>
    <mergeCell ref="M58:N60"/>
    <mergeCell ref="B36:C36"/>
    <mergeCell ref="M36:N37"/>
  </mergeCells>
  <pageMargins left="0.7" right="0.7" top="0.75" bottom="0.75" header="0.3" footer="0.3"/>
  <pageSetup paperSize="8" scale="85" fitToHeight="0" orientation="portrait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3"/>
  <sheetViews>
    <sheetView showGridLines="0" view="pageBreakPreview" topLeftCell="E1" zoomScale="85" zoomScaleNormal="100" zoomScaleSheetLayoutView="85" workbookViewId="0">
      <selection activeCell="I54" sqref="I54"/>
    </sheetView>
  </sheetViews>
  <sheetFormatPr defaultColWidth="8.85546875" defaultRowHeight="14.25" outlineLevelCol="1" x14ac:dyDescent="0.25"/>
  <cols>
    <col min="1" max="1" width="8.85546875" style="3" hidden="1" customWidth="1" outlineLevel="1"/>
    <col min="2" max="2" width="8.85546875" style="3" collapsed="1"/>
    <col min="3" max="5" width="14.7109375" style="3" customWidth="1"/>
    <col min="6" max="6" width="19.7109375" style="3" customWidth="1"/>
    <col min="7" max="7" width="12.85546875" style="3" customWidth="1"/>
    <col min="8" max="8" width="13.85546875" style="3" customWidth="1"/>
    <col min="9" max="9" width="14.7109375" style="3" customWidth="1"/>
    <col min="10" max="10" width="12.7109375" style="3" customWidth="1"/>
    <col min="11" max="12" width="12.42578125" style="3" customWidth="1"/>
    <col min="13" max="13" width="12.140625" style="3" customWidth="1"/>
    <col min="14" max="14" width="12.42578125" style="3" customWidth="1"/>
    <col min="15" max="16" width="8.85546875" style="3"/>
    <col min="17" max="17" width="21.42578125" style="3" customWidth="1"/>
    <col min="18" max="20" width="8.85546875" style="3"/>
    <col min="21" max="21" width="10.85546875" style="3" bestFit="1" customWidth="1"/>
    <col min="22" max="23" width="8.85546875" style="3"/>
    <col min="24" max="24" width="8.85546875" style="3" hidden="1" customWidth="1" outlineLevel="1"/>
    <col min="25" max="26" width="10.42578125" style="3" hidden="1" customWidth="1" outlineLevel="1"/>
    <col min="27" max="27" width="9.7109375" style="23" hidden="1" customWidth="1" outlineLevel="1"/>
    <col min="28" max="30" width="8.85546875" style="23" hidden="1" customWidth="1" outlineLevel="1"/>
    <col min="31" max="32" width="8.85546875" style="3" hidden="1" customWidth="1" outlineLevel="1"/>
    <col min="33" max="33" width="8.85546875" style="3" collapsed="1"/>
    <col min="34" max="16384" width="8.85546875" style="3"/>
  </cols>
  <sheetData>
    <row r="1" spans="2:30" x14ac:dyDescent="0.25">
      <c r="D1" s="4"/>
      <c r="E1" s="5"/>
      <c r="F1" s="4"/>
      <c r="G1" s="4"/>
      <c r="H1" s="4"/>
      <c r="I1" s="5"/>
      <c r="J1" s="5"/>
    </row>
    <row r="2" spans="2:30" x14ac:dyDescent="0.25">
      <c r="B2" s="7"/>
      <c r="C2" s="8"/>
      <c r="D2" s="92" t="s">
        <v>13</v>
      </c>
      <c r="E2" s="10" t="str">
        <f>Eingabe!D2</f>
        <v>Forschung Interreg VA-Projekt Heatlhy Building Network</v>
      </c>
      <c r="F2" s="9"/>
      <c r="G2" s="9"/>
      <c r="H2" s="9"/>
      <c r="I2" s="9"/>
      <c r="J2" s="9"/>
      <c r="K2" s="9"/>
      <c r="L2" s="9"/>
      <c r="M2" s="11" t="s">
        <v>67</v>
      </c>
      <c r="N2" s="12" t="str">
        <f>Eingabe!N2</f>
        <v>1. Januar 2019</v>
      </c>
    </row>
    <row r="3" spans="2:30" x14ac:dyDescent="0.25">
      <c r="B3" s="7"/>
      <c r="C3" s="13"/>
      <c r="D3" s="93" t="s">
        <v>14</v>
      </c>
      <c r="E3" s="15">
        <f>Eingabe!D3</f>
        <v>16343801</v>
      </c>
      <c r="F3" s="14"/>
      <c r="G3" s="14"/>
      <c r="H3" s="14"/>
      <c r="I3" s="14"/>
      <c r="J3" s="14"/>
      <c r="K3" s="14"/>
      <c r="L3" s="14"/>
      <c r="M3" s="16" t="s">
        <v>68</v>
      </c>
      <c r="N3" s="17" t="str">
        <f>Eingabe!N3</f>
        <v>0.3</v>
      </c>
    </row>
    <row r="4" spans="2:30" x14ac:dyDescent="0.25">
      <c r="B4" s="7"/>
      <c r="C4" s="18"/>
      <c r="D4" s="94" t="s">
        <v>15</v>
      </c>
      <c r="E4" s="20" t="str">
        <f>Eingabe!D4</f>
        <v>Vergleich zwischen einer Referenzmaßnahme (1) und einer nachhaltigen Maßnahme (2)</v>
      </c>
      <c r="F4" s="19"/>
      <c r="G4" s="19"/>
      <c r="H4" s="19"/>
      <c r="I4" s="19"/>
      <c r="J4" s="19"/>
      <c r="K4" s="19"/>
      <c r="L4" s="19"/>
      <c r="M4" s="21" t="s">
        <v>0</v>
      </c>
      <c r="N4" s="22" t="str">
        <f>Eingabe!N4</f>
        <v>8. Februar 2019</v>
      </c>
    </row>
    <row r="5" spans="2:30" s="49" customFormat="1" x14ac:dyDescent="0.25">
      <c r="B5" s="48"/>
      <c r="C5" s="87"/>
      <c r="D5" s="48"/>
      <c r="E5" s="51"/>
      <c r="F5" s="48"/>
      <c r="G5" s="48"/>
      <c r="H5" s="48"/>
      <c r="I5" s="48"/>
      <c r="J5" s="48"/>
      <c r="K5" s="48"/>
      <c r="L5" s="48"/>
      <c r="M5" s="52"/>
      <c r="AA5" s="27"/>
      <c r="AB5" s="27"/>
      <c r="AC5" s="27"/>
      <c r="AD5" s="27"/>
    </row>
    <row r="6" spans="2:30" s="49" customFormat="1" x14ac:dyDescent="0.25">
      <c r="B6" s="48"/>
      <c r="C6" s="276" t="s">
        <v>51</v>
      </c>
      <c r="D6" s="42"/>
      <c r="E6" s="42"/>
      <c r="G6" s="43">
        <f>SUM(AB34:AB74)</f>
        <v>7.7168969009859092</v>
      </c>
      <c r="H6" s="277" t="s">
        <v>95</v>
      </c>
      <c r="I6" s="278" t="s">
        <v>53</v>
      </c>
      <c r="J6" s="48"/>
      <c r="K6" s="48"/>
      <c r="L6" s="82"/>
      <c r="M6" s="52"/>
      <c r="AA6" s="27"/>
      <c r="AB6" s="27"/>
      <c r="AC6" s="27"/>
      <c r="AD6" s="27"/>
    </row>
    <row r="7" spans="2:30" s="49" customFormat="1" x14ac:dyDescent="0.25">
      <c r="B7" s="79"/>
      <c r="C7" s="276" t="s">
        <v>93</v>
      </c>
      <c r="D7" s="42"/>
      <c r="E7" s="42"/>
      <c r="G7" s="90" t="str">
        <f>IF(SUM(AE34:AE74)=0,"--",SUM(AE34:AE74))</f>
        <v>--</v>
      </c>
      <c r="H7" s="277" t="s">
        <v>95</v>
      </c>
      <c r="I7" s="86"/>
      <c r="J7" s="79"/>
      <c r="K7" s="79"/>
      <c r="L7" s="82"/>
      <c r="M7" s="68"/>
      <c r="AA7" s="27"/>
      <c r="AB7" s="27"/>
      <c r="AC7" s="27"/>
      <c r="AD7" s="27"/>
    </row>
    <row r="8" spans="2:30" s="49" customFormat="1" x14ac:dyDescent="0.25">
      <c r="B8" s="79"/>
      <c r="C8" s="276" t="s">
        <v>94</v>
      </c>
      <c r="D8" s="42"/>
      <c r="E8" s="42"/>
      <c r="G8" s="90">
        <f>IF(SUM(AF34:AF74)=0,"--",SUM(AF34:AF74))</f>
        <v>18</v>
      </c>
      <c r="H8" s="277" t="s">
        <v>95</v>
      </c>
      <c r="I8" s="86"/>
      <c r="J8" s="79"/>
      <c r="K8" s="79"/>
      <c r="L8" s="82"/>
      <c r="M8" s="68"/>
      <c r="AA8" s="27"/>
      <c r="AB8" s="27"/>
      <c r="AC8" s="27"/>
      <c r="AD8" s="27"/>
    </row>
    <row r="9" spans="2:30" s="49" customFormat="1" ht="15" x14ac:dyDescent="0.25">
      <c r="B9" s="79"/>
      <c r="C9" s="42"/>
      <c r="D9" s="42"/>
      <c r="E9" s="42"/>
      <c r="G9" s="90"/>
      <c r="H9" s="44"/>
      <c r="I9" s="86"/>
      <c r="J9" s="79"/>
      <c r="K9" s="79"/>
      <c r="L9" s="82"/>
      <c r="M9" s="68"/>
      <c r="AA9" s="27"/>
      <c r="AB9" s="27"/>
      <c r="AC9" s="27"/>
      <c r="AD9" s="27"/>
    </row>
    <row r="10" spans="2:30" s="49" customFormat="1" x14ac:dyDescent="0.25">
      <c r="B10" s="48"/>
      <c r="C10" s="50"/>
      <c r="D10" s="48"/>
      <c r="E10" s="51"/>
      <c r="F10" s="48"/>
      <c r="G10" s="48"/>
      <c r="H10" s="48"/>
      <c r="I10" s="48"/>
      <c r="J10" s="48"/>
      <c r="K10" s="48"/>
      <c r="L10" s="48"/>
      <c r="M10" s="52"/>
      <c r="AA10" s="27"/>
      <c r="AB10" s="27"/>
      <c r="AC10" s="27"/>
      <c r="AD10" s="27"/>
    </row>
    <row r="11" spans="2:30" s="49" customFormat="1" x14ac:dyDescent="0.25">
      <c r="B11" s="48"/>
      <c r="C11" s="50"/>
      <c r="D11" s="48"/>
      <c r="E11" s="51"/>
      <c r="F11" s="48"/>
      <c r="G11" s="48"/>
      <c r="H11" s="48"/>
      <c r="I11" s="48"/>
      <c r="J11" s="48"/>
      <c r="K11" s="48"/>
      <c r="L11" s="48"/>
      <c r="M11" s="52"/>
      <c r="AA11" s="27"/>
      <c r="AB11" s="27"/>
      <c r="AC11" s="27"/>
      <c r="AD11" s="27"/>
    </row>
    <row r="12" spans="2:30" s="49" customFormat="1" x14ac:dyDescent="0.25">
      <c r="B12" s="48"/>
      <c r="C12" s="50"/>
      <c r="D12" s="48"/>
      <c r="E12" s="51"/>
      <c r="F12" s="48"/>
      <c r="G12" s="48"/>
      <c r="H12" s="48"/>
      <c r="I12" s="48"/>
      <c r="J12" s="48"/>
      <c r="K12" s="48"/>
      <c r="L12" s="48"/>
      <c r="M12" s="52"/>
      <c r="AA12" s="27"/>
      <c r="AB12" s="27"/>
      <c r="AC12" s="27"/>
      <c r="AD12" s="27"/>
    </row>
    <row r="13" spans="2:30" s="49" customFormat="1" x14ac:dyDescent="0.25">
      <c r="B13" s="48"/>
      <c r="C13" s="50"/>
      <c r="D13" s="48"/>
      <c r="E13" s="51"/>
      <c r="F13" s="48"/>
      <c r="G13" s="48"/>
      <c r="H13" s="48"/>
      <c r="I13" s="48"/>
      <c r="J13" s="48"/>
      <c r="K13" s="48"/>
      <c r="L13" s="48"/>
      <c r="M13" s="52"/>
      <c r="AA13" s="27"/>
      <c r="AB13" s="27"/>
      <c r="AC13" s="27"/>
      <c r="AD13" s="27"/>
    </row>
    <row r="14" spans="2:30" s="49" customFormat="1" x14ac:dyDescent="0.25">
      <c r="B14" s="48"/>
      <c r="C14" s="50"/>
      <c r="D14" s="48"/>
      <c r="E14" s="51"/>
      <c r="F14" s="48"/>
      <c r="G14" s="48"/>
      <c r="H14" s="48"/>
      <c r="I14" s="48"/>
      <c r="J14" s="48"/>
      <c r="K14" s="48"/>
      <c r="L14" s="48"/>
      <c r="M14" s="52"/>
      <c r="AA14" s="27"/>
      <c r="AB14" s="27"/>
      <c r="AC14" s="27"/>
      <c r="AD14" s="27"/>
    </row>
    <row r="15" spans="2:30" s="49" customFormat="1" x14ac:dyDescent="0.25">
      <c r="B15" s="48"/>
      <c r="C15" s="50"/>
      <c r="D15" s="48"/>
      <c r="E15" s="51"/>
      <c r="F15" s="48"/>
      <c r="G15" s="48"/>
      <c r="H15" s="48"/>
      <c r="I15" s="48"/>
      <c r="J15" s="48"/>
      <c r="K15" s="48"/>
      <c r="L15" s="48"/>
      <c r="M15" s="52"/>
      <c r="AA15" s="27"/>
      <c r="AB15" s="27"/>
      <c r="AC15" s="27"/>
      <c r="AD15" s="27"/>
    </row>
    <row r="16" spans="2:30" s="49" customFormat="1" x14ac:dyDescent="0.25">
      <c r="B16" s="48"/>
      <c r="C16" s="50"/>
      <c r="D16" s="48"/>
      <c r="E16" s="51"/>
      <c r="F16" s="48"/>
      <c r="G16" s="48"/>
      <c r="H16" s="48"/>
      <c r="I16" s="48"/>
      <c r="J16" s="48"/>
      <c r="K16" s="48"/>
      <c r="L16" s="48"/>
      <c r="M16" s="52"/>
      <c r="AA16" s="27"/>
      <c r="AB16" s="27"/>
      <c r="AC16" s="27"/>
      <c r="AD16" s="27"/>
    </row>
    <row r="17" spans="2:34" s="49" customFormat="1" x14ac:dyDescent="0.25">
      <c r="B17" s="48"/>
      <c r="C17" s="50"/>
      <c r="D17" s="48"/>
      <c r="E17" s="51"/>
      <c r="F17" s="48"/>
      <c r="G17" s="48"/>
      <c r="H17" s="48"/>
      <c r="I17" s="48"/>
      <c r="J17" s="48"/>
      <c r="K17" s="48"/>
      <c r="L17" s="48"/>
      <c r="M17" s="52"/>
      <c r="AA17" s="27"/>
      <c r="AB17" s="27"/>
      <c r="AC17" s="27"/>
      <c r="AD17" s="27"/>
    </row>
    <row r="18" spans="2:34" s="49" customFormat="1" x14ac:dyDescent="0.25">
      <c r="B18" s="48"/>
      <c r="C18" s="50"/>
      <c r="D18" s="48"/>
      <c r="E18" s="51"/>
      <c r="F18" s="48"/>
      <c r="G18" s="48"/>
      <c r="H18" s="48"/>
      <c r="I18" s="48"/>
      <c r="J18" s="48"/>
      <c r="K18" s="48"/>
      <c r="L18" s="48"/>
      <c r="M18" s="52"/>
      <c r="AA18" s="27"/>
      <c r="AB18" s="27"/>
      <c r="AC18" s="27"/>
      <c r="AD18" s="27"/>
    </row>
    <row r="19" spans="2:34" s="49" customFormat="1" x14ac:dyDescent="0.25">
      <c r="B19" s="48"/>
      <c r="C19" s="50"/>
      <c r="D19" s="48"/>
      <c r="E19" s="51"/>
      <c r="F19" s="48"/>
      <c r="G19" s="48"/>
      <c r="H19" s="48"/>
      <c r="I19" s="48"/>
      <c r="J19" s="48"/>
      <c r="K19" s="48"/>
      <c r="L19" s="48"/>
      <c r="M19" s="52"/>
      <c r="AA19" s="27"/>
      <c r="AB19" s="27"/>
      <c r="AC19" s="27"/>
      <c r="AD19" s="27"/>
    </row>
    <row r="20" spans="2:34" s="49" customFormat="1" x14ac:dyDescent="0.25">
      <c r="B20" s="48"/>
      <c r="C20" s="50"/>
      <c r="D20" s="48"/>
      <c r="E20" s="51"/>
      <c r="F20" s="48"/>
      <c r="G20" s="48"/>
      <c r="H20" s="48"/>
      <c r="I20" s="48"/>
      <c r="J20" s="48"/>
      <c r="K20" s="48"/>
      <c r="L20" s="48"/>
      <c r="M20" s="52"/>
      <c r="AA20" s="27"/>
      <c r="AB20" s="27"/>
      <c r="AC20" s="27"/>
      <c r="AD20" s="27"/>
    </row>
    <row r="21" spans="2:34" s="49" customFormat="1" x14ac:dyDescent="0.25">
      <c r="B21" s="48"/>
      <c r="C21" s="50"/>
      <c r="D21" s="48"/>
      <c r="E21" s="51"/>
      <c r="F21" s="48"/>
      <c r="G21" s="48"/>
      <c r="H21" s="48"/>
      <c r="I21" s="48"/>
      <c r="J21" s="48"/>
      <c r="K21" s="48"/>
      <c r="L21" s="48"/>
      <c r="M21" s="52"/>
      <c r="AA21" s="27"/>
      <c r="AB21" s="27"/>
      <c r="AC21" s="27"/>
      <c r="AD21" s="27"/>
    </row>
    <row r="22" spans="2:34" s="49" customFormat="1" x14ac:dyDescent="0.25">
      <c r="B22" s="48"/>
      <c r="C22" s="50"/>
      <c r="D22" s="48"/>
      <c r="E22" s="51"/>
      <c r="F22" s="48"/>
      <c r="G22" s="48"/>
      <c r="H22" s="48"/>
      <c r="I22" s="48"/>
      <c r="J22" s="48"/>
      <c r="K22" s="48"/>
      <c r="L22" s="48"/>
      <c r="M22" s="52"/>
      <c r="AA22" s="27"/>
      <c r="AB22" s="27"/>
      <c r="AC22" s="27"/>
      <c r="AD22" s="27"/>
    </row>
    <row r="23" spans="2:34" s="49" customFormat="1" x14ac:dyDescent="0.25">
      <c r="B23" s="48"/>
      <c r="C23" s="50"/>
      <c r="D23" s="48"/>
      <c r="E23" s="51"/>
      <c r="F23" s="48"/>
      <c r="G23" s="48"/>
      <c r="H23" s="48"/>
      <c r="I23" s="48"/>
      <c r="J23" s="48"/>
      <c r="K23" s="48"/>
      <c r="L23" s="48"/>
      <c r="M23" s="52"/>
      <c r="AA23" s="27"/>
      <c r="AB23" s="27"/>
      <c r="AC23" s="27"/>
      <c r="AD23" s="27"/>
    </row>
    <row r="24" spans="2:34" s="49" customFormat="1" x14ac:dyDescent="0.25">
      <c r="B24" s="48"/>
      <c r="C24" s="50"/>
      <c r="D24" s="48"/>
      <c r="E24" s="51"/>
      <c r="F24" s="48"/>
      <c r="G24" s="48"/>
      <c r="H24" s="48"/>
      <c r="I24" s="48"/>
      <c r="J24" s="48"/>
      <c r="K24" s="48"/>
      <c r="L24" s="48"/>
      <c r="M24" s="52"/>
      <c r="AA24" s="27"/>
      <c r="AB24" s="27"/>
      <c r="AC24" s="27"/>
      <c r="AD24" s="27"/>
    </row>
    <row r="25" spans="2:34" s="49" customFormat="1" x14ac:dyDescent="0.25">
      <c r="B25" s="48"/>
      <c r="C25" s="50"/>
      <c r="D25" s="48"/>
      <c r="E25" s="51"/>
      <c r="F25" s="48"/>
      <c r="G25" s="48"/>
      <c r="H25" s="48"/>
      <c r="I25" s="48"/>
      <c r="J25" s="48"/>
      <c r="K25" s="48"/>
      <c r="L25" s="48"/>
      <c r="M25" s="52"/>
      <c r="AA25" s="27"/>
      <c r="AB25" s="27"/>
      <c r="AC25" s="27"/>
      <c r="AD25" s="27"/>
    </row>
    <row r="26" spans="2:34" s="49" customFormat="1" x14ac:dyDescent="0.25">
      <c r="B26" s="48"/>
      <c r="C26" s="50"/>
      <c r="D26" s="48"/>
      <c r="E26" s="51"/>
      <c r="F26" s="48"/>
      <c r="G26" s="48"/>
      <c r="H26" s="48"/>
      <c r="I26" s="48"/>
      <c r="J26" s="48"/>
      <c r="K26" s="48"/>
      <c r="L26" s="48"/>
      <c r="M26" s="52"/>
      <c r="AA26" s="27"/>
      <c r="AB26" s="27"/>
      <c r="AC26" s="27"/>
      <c r="AD26" s="27"/>
    </row>
    <row r="27" spans="2:34" s="49" customFormat="1" x14ac:dyDescent="0.25">
      <c r="B27" s="48"/>
      <c r="C27" s="50"/>
      <c r="D27" s="48"/>
      <c r="E27" s="51"/>
      <c r="F27" s="48"/>
      <c r="G27" s="48"/>
      <c r="H27" s="48"/>
      <c r="I27" s="48"/>
      <c r="J27" s="48"/>
      <c r="K27" s="48"/>
      <c r="L27" s="48"/>
      <c r="M27" s="52"/>
      <c r="AA27" s="27"/>
      <c r="AB27" s="27"/>
      <c r="AC27" s="27"/>
      <c r="AD27" s="27"/>
    </row>
    <row r="28" spans="2:34" s="49" customFormat="1" x14ac:dyDescent="0.25">
      <c r="B28" s="48"/>
      <c r="C28" s="50"/>
      <c r="D28" s="48"/>
      <c r="E28" s="51"/>
      <c r="F28" s="48"/>
      <c r="G28" s="48"/>
      <c r="H28" s="48"/>
      <c r="I28" s="48"/>
      <c r="J28" s="48"/>
      <c r="K28" s="48"/>
      <c r="L28" s="48"/>
      <c r="M28" s="52"/>
      <c r="AA28" s="27"/>
      <c r="AB28" s="27"/>
      <c r="AC28" s="27"/>
      <c r="AD28" s="27"/>
    </row>
    <row r="29" spans="2:34" s="49" customFormat="1" x14ac:dyDescent="0.25">
      <c r="B29" s="48"/>
      <c r="C29" s="50"/>
      <c r="D29" s="48"/>
      <c r="E29" s="51"/>
      <c r="F29" s="48"/>
      <c r="G29" s="48"/>
      <c r="H29" s="48"/>
      <c r="I29" s="48"/>
      <c r="J29" s="48"/>
      <c r="K29" s="48"/>
      <c r="L29" s="48"/>
      <c r="M29" s="52"/>
      <c r="AA29" s="27"/>
      <c r="AB29" s="27"/>
      <c r="AC29" s="27"/>
      <c r="AD29" s="27"/>
    </row>
    <row r="30" spans="2:34" s="49" customFormat="1" x14ac:dyDescent="0.25">
      <c r="B30" s="48"/>
      <c r="C30" s="50"/>
      <c r="D30" s="48"/>
      <c r="E30" s="51"/>
      <c r="F30" s="48"/>
      <c r="G30" s="48"/>
      <c r="H30" s="48"/>
      <c r="I30" s="48"/>
      <c r="J30" s="48"/>
      <c r="K30" s="48"/>
      <c r="L30" s="48"/>
      <c r="M30" s="52"/>
      <c r="AA30" s="27"/>
      <c r="AB30" s="27"/>
      <c r="AC30" s="27"/>
      <c r="AD30" s="27"/>
    </row>
    <row r="31" spans="2:34" x14ac:dyDescent="0.25">
      <c r="B31" s="26"/>
    </row>
    <row r="32" spans="2:34" ht="15" customHeight="1" x14ac:dyDescent="0.25">
      <c r="B32" s="26"/>
      <c r="C32" s="370" t="str">
        <f>Eingabe!B27</f>
        <v>Referenzmaßnahme (1)</v>
      </c>
      <c r="D32" s="371"/>
      <c r="E32" s="371"/>
      <c r="F32" s="371"/>
      <c r="G32" s="371"/>
      <c r="H32" s="371"/>
      <c r="I32" s="371"/>
      <c r="J32" s="371"/>
      <c r="K32" s="371"/>
      <c r="L32" s="371"/>
      <c r="M32" s="371"/>
      <c r="N32" s="372"/>
      <c r="O32" s="82"/>
      <c r="Y32" s="88" t="s">
        <v>5</v>
      </c>
      <c r="AF32" s="71"/>
      <c r="AG32" s="71"/>
      <c r="AH32" s="71"/>
    </row>
    <row r="33" spans="1:34" ht="33.75" x14ac:dyDescent="0.25">
      <c r="B33" s="26"/>
      <c r="C33" s="279" t="s">
        <v>52</v>
      </c>
      <c r="D33" s="279" t="s">
        <v>54</v>
      </c>
      <c r="E33" s="279" t="s">
        <v>55</v>
      </c>
      <c r="F33" s="279" t="s">
        <v>70</v>
      </c>
      <c r="G33" s="279" t="s">
        <v>56</v>
      </c>
      <c r="H33" s="279" t="s">
        <v>82</v>
      </c>
      <c r="I33" s="282" t="s">
        <v>57</v>
      </c>
      <c r="J33" s="282" t="s">
        <v>58</v>
      </c>
      <c r="K33" s="282" t="s">
        <v>59</v>
      </c>
      <c r="L33" s="280" t="s">
        <v>60</v>
      </c>
      <c r="M33" s="281" t="s">
        <v>83</v>
      </c>
      <c r="N33" s="281" t="s">
        <v>84</v>
      </c>
      <c r="T33" s="71" t="s">
        <v>10</v>
      </c>
      <c r="U33" s="71" t="s">
        <v>11</v>
      </c>
      <c r="V33" s="88" t="s">
        <v>81</v>
      </c>
      <c r="Y33" s="71" t="s">
        <v>6</v>
      </c>
      <c r="Z33" s="71" t="s">
        <v>7</v>
      </c>
      <c r="AA33" s="23" t="s">
        <v>8</v>
      </c>
      <c r="AB33" s="23" t="s">
        <v>9</v>
      </c>
      <c r="AE33" s="71"/>
      <c r="AF33" s="71"/>
      <c r="AG33" s="71"/>
      <c r="AH33" s="71"/>
    </row>
    <row r="34" spans="1:34" x14ac:dyDescent="0.25">
      <c r="A34" s="39">
        <v>0</v>
      </c>
      <c r="B34" s="26"/>
      <c r="C34" s="24">
        <f>IF(A34&lt;=Eingabe!D22,2018,"")</f>
        <v>2018</v>
      </c>
      <c r="D34" s="1">
        <f>IF(A34&lt;=Eingabe!$D$22,0,"")</f>
        <v>0</v>
      </c>
      <c r="E34" s="34">
        <f>IF(A34&lt;=Eingabe!$D$22,-Eingabe!L29,"")</f>
        <v>-25000</v>
      </c>
      <c r="F34" s="34"/>
      <c r="G34" s="34"/>
      <c r="H34" s="34"/>
      <c r="I34" s="81"/>
      <c r="J34" s="77"/>
      <c r="K34" s="338"/>
      <c r="L34" s="340">
        <f>IF(A34&lt;=Eingabe!$D$22,SUM(E34:K34),"")</f>
        <v>-25000</v>
      </c>
      <c r="M34" s="341">
        <f>IF(A34&lt;=Eingabe!$D$22,L34/(1+Eingabe!$D$23)^D34,"")</f>
        <v>-25000</v>
      </c>
      <c r="N34" s="341">
        <f>IF(A34&lt;=Eingabe!$D$22,M34,"")</f>
        <v>-25000</v>
      </c>
      <c r="O34" s="234"/>
      <c r="T34" s="91">
        <f t="shared" ref="T34:T74" si="0">L34</f>
        <v>-25000</v>
      </c>
      <c r="U34" s="91">
        <f>L80</f>
        <v>-65000</v>
      </c>
      <c r="V34" s="91">
        <f>U34-T34</f>
        <v>-40000</v>
      </c>
      <c r="X34" s="89">
        <v>0</v>
      </c>
      <c r="Y34" s="40">
        <f t="shared" ref="Y34:Y74" si="1">N34</f>
        <v>-25000</v>
      </c>
      <c r="Z34" s="40">
        <f t="shared" ref="Z34:Z74" si="2">N80</f>
        <v>-65000</v>
      </c>
      <c r="AA34" s="40">
        <f>IFERROR(Z34-Y34,0)</f>
        <v>-40000</v>
      </c>
      <c r="AB34" s="41">
        <f t="shared" ref="AB34:AB74" si="3">IF(AND(AA34&lt;0,AA35&gt;=0),C34-$C$34+(AA34/(AA34-AA35)),0)</f>
        <v>0</v>
      </c>
      <c r="AE34" s="71">
        <f>IF(Y34&gt;0,X34,0)</f>
        <v>0</v>
      </c>
      <c r="AF34" s="71">
        <f>IF(Z34&gt;0,X34,0)</f>
        <v>0</v>
      </c>
      <c r="AG34" s="71"/>
      <c r="AH34" s="71"/>
    </row>
    <row r="35" spans="1:34" x14ac:dyDescent="0.25">
      <c r="A35" s="39">
        <v>1</v>
      </c>
      <c r="B35" s="26"/>
      <c r="C35" s="24">
        <f>IF(A35&lt;=Eingabe!$D$22,C34+1,"")</f>
        <v>2019</v>
      </c>
      <c r="D35" s="1">
        <f>IF(A35&lt;=Eingabe!$D$22,D34+1,"")</f>
        <v>1</v>
      </c>
      <c r="E35" s="35">
        <f>IF(A35&lt;=Eingabe!$D$22,IF(D35=Eingabe!$D$30,-Eingabe!$L$30*(1+Eingabe!$J$30)^D35,IF(D35=Eingabe!$D$31,-Eingabe!$L$31*(1+Eingabe!$J$31)^D35,IF(D35=Eingabe!$D$32,-Eingabe!$L$32*(1+Eingabe!$J$32)^D35,0))),"")</f>
        <v>0</v>
      </c>
      <c r="F35" s="34">
        <f>IF(A35&lt;=Eingabe!$D$22,IF(D35=Eingabe!$D$36,-(Eingabe!$L$35+Eingabe!$L$36)*(1+Eingabe!$J$35)^Ergebnis!D35,-(Eingabe!$L$35)*(1+Eingabe!$J$35)^Ergebnis!D35),"")</f>
        <v>0</v>
      </c>
      <c r="G35" s="36">
        <f>IF(A35&lt;=Eingabe!$D$22,-Eingabe!L37,"")</f>
        <v>0</v>
      </c>
      <c r="H35" s="36">
        <f>IF(A35&lt;=Eingabe!$D$22,(-Eingabe!L40*(1+Eingabe!J40)^Ergebnis!D35)-(Eingabe!L41*(1+Eingabe!J41)^Ergebnis!D35)-(Eingabe!L42*(1+Eingabe!J42)^Ergebnis!D35),"")</f>
        <v>-1159.8839999999998</v>
      </c>
      <c r="I35" s="38">
        <f>IF(A35&lt;=Eingabe!$D$22,Eingabe!D45+Eingabe!D46,"")</f>
        <v>0</v>
      </c>
      <c r="J35" s="83">
        <v>0</v>
      </c>
      <c r="K35" s="339">
        <f>IF(D35&lt;=Eingabe!$D$22,IF(D35=Eingabe!$D$30,(Eingabe!$L$29*Eingabe!$I$29)*(1+Eingabe!$J$29)^Ergebnis!D35,IF(D35=Eingabe!$D$31,(Eingabe!$L$30*Eingabe!$I$30)*(1+Eingabe!$J$30)^Ergebnis!D35,IF(D35=Eingabe!$D$32,(Eingabe!$L$31*Eingabe!$I$31)*(1+Eingabe!$J$31)^Ergebnis!D35,IF(D35=Eingabe!$D$33,(Eingabe!$L$32*Eingabe!$I$32)*(1+Eingabe!$J$32)^Ergebnis!D35,0)))),"")</f>
        <v>0</v>
      </c>
      <c r="L35" s="340">
        <f>IF(A35&lt;=Eingabe!$D$22,SUM(E35:K35),"")</f>
        <v>-1159.8839999999998</v>
      </c>
      <c r="M35" s="341">
        <f>IF(A35&lt;=Eingabe!$D$22,L35/(1+Eingabe!$D$23)^D35,"")</f>
        <v>-1115.2730769230766</v>
      </c>
      <c r="N35" s="341">
        <f>IF(A35&lt;=Eingabe!$D$22,N34+M35,"")</f>
        <v>-26115.273076923077</v>
      </c>
      <c r="O35" s="234"/>
      <c r="T35" s="91">
        <f t="shared" si="0"/>
        <v>-1159.8839999999998</v>
      </c>
      <c r="U35" s="91">
        <f t="shared" ref="U35:U74" si="4">L81</f>
        <v>4736.76</v>
      </c>
      <c r="V35" s="91">
        <f t="shared" ref="V35:V74" si="5">U35-T35</f>
        <v>5896.6440000000002</v>
      </c>
      <c r="X35" s="89">
        <v>1</v>
      </c>
      <c r="Y35" s="40">
        <f>N35</f>
        <v>-26115.273076923077</v>
      </c>
      <c r="Z35" s="40">
        <f t="shared" si="2"/>
        <v>-60445.423076923078</v>
      </c>
      <c r="AA35" s="40">
        <f t="shared" ref="AA35:AA74" si="6">IFERROR(Z35-Y35,0)</f>
        <v>-34330.15</v>
      </c>
      <c r="AB35" s="41">
        <f t="shared" si="3"/>
        <v>0</v>
      </c>
      <c r="AE35" s="71">
        <f>IF(Y35&gt;0,IF(AE34=0,X35,0),0)</f>
        <v>0</v>
      </c>
      <c r="AF35" s="71">
        <f>IF(Z35&gt;0,IF(AF34=0,X35,0),0)</f>
        <v>0</v>
      </c>
      <c r="AG35" s="71"/>
      <c r="AH35" s="71"/>
    </row>
    <row r="36" spans="1:34" x14ac:dyDescent="0.25">
      <c r="A36" s="39">
        <v>2</v>
      </c>
      <c r="B36" s="33"/>
      <c r="C36" s="61">
        <f>IF(A36&lt;=Eingabe!$D$22,C35+1,"")</f>
        <v>2020</v>
      </c>
      <c r="D36" s="1">
        <f>IF(A36&lt;=Eingabe!$D$22,D35+1,"")</f>
        <v>2</v>
      </c>
      <c r="E36" s="35">
        <f>IF(A36&lt;=Eingabe!$D$22,IF(D36=Eingabe!$D$30,-Eingabe!$L$30*(1+Eingabe!$J$30)^D36,IF(D36=Eingabe!$D$31,-Eingabe!$L$31*(1+Eingabe!$J$31)^D36,IF(D36=Eingabe!$D$32,-Eingabe!$L$32*(1+Eingabe!$J$32)^D36,0))),"")</f>
        <v>0</v>
      </c>
      <c r="F36" s="34">
        <f>IF(A36&lt;=Eingabe!$D$22,IF(D36=Eingabe!$D$36,-(Eingabe!$L$35+Eingabe!$L$36)*(1+Eingabe!$J$35)^Ergebnis!D36,-(Eingabe!$L$35)*(1+Eingabe!$J$35)^Ergebnis!D36),"")</f>
        <v>0</v>
      </c>
      <c r="G36" s="36">
        <f>IF(A36&lt;=Eingabe!$D$22,G35*(1+Eingabe!$J$37),"")</f>
        <v>0</v>
      </c>
      <c r="H36" s="36">
        <f>IF(A36&lt;=Eingabe!$D$22,(-Eingabe!$L$40*(1+Eingabe!$J$40)^Ergebnis!D36)-(Eingabe!$L$41*(1+Eingabe!$J$41)^Ergebnis!D36)-(Eingabe!$L$42*(1+Eingabe!$J$42)^Ergebnis!D36),"")</f>
        <v>-1171.4828399999999</v>
      </c>
      <c r="I36" s="38">
        <f>IF(A36&lt;=Eingabe!$D$22,Eingabe!$D$46*(1+Eingabe!$J$46)^D36,"")</f>
        <v>0</v>
      </c>
      <c r="J36" s="83">
        <v>0</v>
      </c>
      <c r="K36" s="81">
        <f>IF(D36&lt;=Eingabe!$D$22,IF(D36=Eingabe!$D$30,(Eingabe!$L$29*Eingabe!$I$29)*(1+Eingabe!$J$29)^Ergebnis!D36,IF(D36=Eingabe!$D$31,(Eingabe!$L$30*Eingabe!$I$30)*(1+Eingabe!$J$30)^Ergebnis!D36,IF(D36=Eingabe!$D$32,(Eingabe!$L$31*Eingabe!$I$31)*(1+Eingabe!$J$31)^Ergebnis!D36,IF(D36=Eingabe!$D$33,(Eingabe!$L$32*Eingabe!$I$32)*(1+Eingabe!$J$32)^Ergebnis!D36,0)))),"")</f>
        <v>0</v>
      </c>
      <c r="L36" s="2">
        <f>IF(A36&lt;=Eingabe!$D$22,SUM(E36:K36),"")</f>
        <v>-1171.4828399999999</v>
      </c>
      <c r="M36" s="62">
        <f>IF(A36&lt;=Eingabe!$D$22,L36/(1+Eingabe!$D$23)^D36,"")</f>
        <v>-1083.1017381656802</v>
      </c>
      <c r="N36" s="32">
        <f>IF(A36&lt;=Eingabe!$D$22,N35+M36,"")</f>
        <v>-27198.374815088755</v>
      </c>
      <c r="T36" s="91">
        <f t="shared" si="0"/>
        <v>-1171.4828399999999</v>
      </c>
      <c r="U36" s="91">
        <f t="shared" si="4"/>
        <v>4831.9688760000008</v>
      </c>
      <c r="V36" s="91">
        <f t="shared" si="5"/>
        <v>6003.4517160000005</v>
      </c>
      <c r="X36" s="89">
        <v>2</v>
      </c>
      <c r="Y36" s="40">
        <f t="shared" si="1"/>
        <v>-27198.374815088755</v>
      </c>
      <c r="Z36" s="40">
        <f t="shared" si="2"/>
        <v>-55977.996231508878</v>
      </c>
      <c r="AA36" s="40">
        <f t="shared" si="6"/>
        <v>-28779.621416420123</v>
      </c>
      <c r="AB36" s="41">
        <f t="shared" si="3"/>
        <v>0</v>
      </c>
      <c r="AE36" s="71">
        <f>IF(Y36&gt;0,IF(SUM(AE34:AE35)=0,X36,0),0)</f>
        <v>0</v>
      </c>
      <c r="AF36" s="71">
        <f>IF(Z36&gt;0,IF(SUM(AF34:AF35)=0,X36,0),0)</f>
        <v>0</v>
      </c>
      <c r="AG36" s="71"/>
      <c r="AH36" s="71"/>
    </row>
    <row r="37" spans="1:34" x14ac:dyDescent="0.25">
      <c r="A37" s="39">
        <v>3</v>
      </c>
      <c r="B37" s="26"/>
      <c r="C37" s="61">
        <f>IF(A37&lt;=Eingabe!$D$22,C36+1,"")</f>
        <v>2021</v>
      </c>
      <c r="D37" s="57">
        <f>IF(A37&lt;=Eingabe!$D$22,D36+1,"")</f>
        <v>3</v>
      </c>
      <c r="E37" s="64">
        <f>IF(A37&lt;=Eingabe!$D$22,IF(D37=Eingabe!$D$30,-Eingabe!$L$30*(1+Eingabe!$J$30)^D37,IF(D37=Eingabe!$D$31,-Eingabe!$L$31*(1+Eingabe!$J$31)^D37,IF(D37=Eingabe!$D$32,-Eingabe!$L$32*(1+Eingabe!$J$32)^D37,0))),"")</f>
        <v>0</v>
      </c>
      <c r="F37" s="63">
        <f>IF(A37&lt;=Eingabe!$D$22,IF(D37=Eingabe!$D$36,-(Eingabe!$L$35+Eingabe!$L$36)*(1+Eingabe!$J$35)^Ergebnis!D37,-(Eingabe!$L$35)*(1+Eingabe!$J$35)^Ergebnis!D37),"")</f>
        <v>0</v>
      </c>
      <c r="G37" s="65">
        <f>IF(A37&lt;=Eingabe!$D$22,G36*(1+Eingabe!$J$37),"")</f>
        <v>0</v>
      </c>
      <c r="H37" s="65">
        <f>IF(A37&lt;=Eingabe!$D$22,(-Eingabe!$L$40*(1+Eingabe!$J$40)^Ergebnis!D37)-(Eingabe!$L$41*(1+Eingabe!$J$41)^Ergebnis!D37)-(Eingabe!$L$42*(1+Eingabe!$J$42)^Ergebnis!D37),"")</f>
        <v>-1183.1976683999997</v>
      </c>
      <c r="I37" s="66">
        <f>IF(A37&lt;=Eingabe!$D$22,Eingabe!$D$46*(1+Eingabe!$J$46)^D37,"")</f>
        <v>0</v>
      </c>
      <c r="J37" s="83">
        <v>0</v>
      </c>
      <c r="K37" s="81">
        <f>IF(D37&lt;=Eingabe!$D$22,IF(D37=Eingabe!$D$30,(Eingabe!$L$29*Eingabe!$I$29)*(1+Eingabe!$J$29)^Ergebnis!D37,IF(D37=Eingabe!$D$31,(Eingabe!$L$30*Eingabe!$I$30)*(1+Eingabe!$J$30)^Ergebnis!D37,IF(D37=Eingabe!$D$32,(Eingabe!$L$31*Eingabe!$I$31)*(1+Eingabe!$J$31)^Ergebnis!D37,IF(D37=Eingabe!$D$33,(Eingabe!$L$32*Eingabe!$I$32)*(1+Eingabe!$J$32)^Ergebnis!D37,0)))),"")</f>
        <v>0</v>
      </c>
      <c r="L37" s="58">
        <f>IF(A37&lt;=Eingabe!$D$22,SUM(E37:K37),"")</f>
        <v>-1183.1976683999997</v>
      </c>
      <c r="M37" s="62">
        <f>IF(A37&lt;=Eingabe!$D$22,L37/(1+Eingabe!$D$23)^D37,"")</f>
        <v>-1051.8584187955162</v>
      </c>
      <c r="N37" s="62">
        <f>IF(A37&lt;=Eingabe!$D$22,N36+M37,"")</f>
        <v>-28250.233233884272</v>
      </c>
      <c r="T37" s="91">
        <f t="shared" si="0"/>
        <v>-1183.1976683999997</v>
      </c>
      <c r="U37" s="91">
        <f t="shared" si="4"/>
        <v>4880.2885647599996</v>
      </c>
      <c r="V37" s="91">
        <f t="shared" si="5"/>
        <v>6063.4862331599998</v>
      </c>
      <c r="X37" s="89">
        <v>3</v>
      </c>
      <c r="Y37" s="40">
        <f t="shared" si="1"/>
        <v>-28250.233233884272</v>
      </c>
      <c r="Z37" s="40">
        <f t="shared" si="2"/>
        <v>-51639.437468173935</v>
      </c>
      <c r="AA37" s="40">
        <f t="shared" si="6"/>
        <v>-23389.204234289664</v>
      </c>
      <c r="AB37" s="41">
        <f t="shared" si="3"/>
        <v>0</v>
      </c>
      <c r="AE37" s="71">
        <f>IF(Y37&gt;0,IF(SUM(AE34:AE36)=0,X37,0),0)</f>
        <v>0</v>
      </c>
      <c r="AF37" s="71">
        <f>IF(Z37&gt;0,IF(SUM(AF34:AF36)=0,X37,0),0)</f>
        <v>0</v>
      </c>
      <c r="AG37" s="71"/>
      <c r="AH37" s="71"/>
    </row>
    <row r="38" spans="1:34" x14ac:dyDescent="0.25">
      <c r="A38" s="39">
        <v>4</v>
      </c>
      <c r="B38" s="26"/>
      <c r="C38" s="61">
        <f>IF(A38&lt;=Eingabe!$D$22,C37+1,"")</f>
        <v>2022</v>
      </c>
      <c r="D38" s="57">
        <f>IF(A38&lt;=Eingabe!$D$22,D37+1,"")</f>
        <v>4</v>
      </c>
      <c r="E38" s="64">
        <f>IF(A38&lt;=Eingabe!$D$22,IF(D38=Eingabe!$D$30,-Eingabe!$L$30*(1+Eingabe!$J$30)^D38,IF(D38=Eingabe!$D$31,-Eingabe!$L$31*(1+Eingabe!$J$31)^D38,IF(D38=Eingabe!$D$32,-Eingabe!$L$32*(1+Eingabe!$J$32)^D38,0))),"")</f>
        <v>0</v>
      </c>
      <c r="F38" s="63">
        <f>IF(A38&lt;=Eingabe!$D$22,IF(D38=Eingabe!$D$36,-(Eingabe!$L$35+Eingabe!$L$36)*(1+Eingabe!$J$35)^Ergebnis!D38,-(Eingabe!$L$35)*(1+Eingabe!$J$35)^Ergebnis!D38),"")</f>
        <v>0</v>
      </c>
      <c r="G38" s="65">
        <f>IF(A38&lt;=Eingabe!$D$22,G37*(1+Eingabe!$J$37),"")</f>
        <v>0</v>
      </c>
      <c r="H38" s="65">
        <f>IF(A38&lt;=Eingabe!$D$22,(-Eingabe!$L$40*(1+Eingabe!$J$40)^Ergebnis!D38)-(Eingabe!$L$41*(1+Eingabe!$J$41)^Ergebnis!D38)-(Eingabe!$L$42*(1+Eingabe!$J$42)^Ergebnis!D38),"")</f>
        <v>-1195.0296450839999</v>
      </c>
      <c r="I38" s="66">
        <f>IF(A38&lt;=Eingabe!$D$22,Eingabe!$D$46*(1+Eingabe!$J$46)^D38,"")</f>
        <v>0</v>
      </c>
      <c r="J38" s="83">
        <v>0</v>
      </c>
      <c r="K38" s="81">
        <f>IF(D38&lt;=Eingabe!$D$22,IF(D38=Eingabe!$D$30,(Eingabe!$L$29*Eingabe!$I$29)*(1+Eingabe!$J$29)^Ergebnis!D38,IF(D38=Eingabe!$D$31,(Eingabe!$L$30*Eingabe!$I$30)*(1+Eingabe!$J$30)^Ergebnis!D38,IF(D38=Eingabe!$D$32,(Eingabe!$L$31*Eingabe!$I$31)*(1+Eingabe!$J$31)^Ergebnis!D38,IF(D38=Eingabe!$D$33,(Eingabe!$L$32*Eingabe!$I$32)*(1+Eingabe!$J$32)^Ergebnis!D38,0)))),"")</f>
        <v>0</v>
      </c>
      <c r="L38" s="58">
        <f>IF(A38&lt;=Eingabe!$D$22,SUM(E38:K38),"")</f>
        <v>-1195.0296450839999</v>
      </c>
      <c r="M38" s="62">
        <f>IF(A38&lt;=Eingabe!$D$22,L38/(1+Eingabe!$D$23)^D38,"")</f>
        <v>-1021.5163490225688</v>
      </c>
      <c r="N38" s="62">
        <f>IF(A38&lt;=Eingabe!$D$22,N37+M38,"")</f>
        <v>-29271.749582906839</v>
      </c>
      <c r="T38" s="91">
        <f t="shared" si="0"/>
        <v>-1195.0296450839999</v>
      </c>
      <c r="U38" s="91">
        <f t="shared" si="4"/>
        <v>4929.0914504076</v>
      </c>
      <c r="V38" s="91">
        <f t="shared" si="5"/>
        <v>6124.1210954915996</v>
      </c>
      <c r="X38" s="89">
        <v>4</v>
      </c>
      <c r="Y38" s="40">
        <f t="shared" si="1"/>
        <v>-29271.749582906839</v>
      </c>
      <c r="Z38" s="40">
        <f t="shared" si="2"/>
        <v>-47426.029438396727</v>
      </c>
      <c r="AA38" s="40">
        <f t="shared" si="6"/>
        <v>-18154.279855489887</v>
      </c>
      <c r="AB38" s="41">
        <f t="shared" si="3"/>
        <v>0</v>
      </c>
      <c r="AE38" s="71">
        <f>IF(Y38&gt;0,IF(SUM(AE34:AE37)=0,X38,0),0)</f>
        <v>0</v>
      </c>
      <c r="AF38" s="71">
        <f>IF(Z38&gt;0,IF(SUM(AF34:AF37)=0,X38,0),0)</f>
        <v>0</v>
      </c>
      <c r="AG38" s="71"/>
      <c r="AH38" s="71"/>
    </row>
    <row r="39" spans="1:34" x14ac:dyDescent="0.25">
      <c r="A39" s="39">
        <v>5</v>
      </c>
      <c r="B39" s="26"/>
      <c r="C39" s="61">
        <f>IF(A39&lt;=Eingabe!$D$22,C38+1,"")</f>
        <v>2023</v>
      </c>
      <c r="D39" s="57">
        <f>IF(A39&lt;=Eingabe!$D$22,D38+1,"")</f>
        <v>5</v>
      </c>
      <c r="E39" s="64">
        <f>IF(A39&lt;=Eingabe!$D$22,IF(D39=Eingabe!$D$30,-Eingabe!$L$30*(1+Eingabe!$J$30)^D39,IF(D39=Eingabe!$D$31,-Eingabe!$L$31*(1+Eingabe!$J$31)^D39,IF(D39=Eingabe!$D$32,-Eingabe!$L$32*(1+Eingabe!$J$32)^D39,0))),"")</f>
        <v>0</v>
      </c>
      <c r="F39" s="63">
        <f>IF(A39&lt;=Eingabe!$D$22,IF(D39=Eingabe!$D$36,-(Eingabe!$L$35+Eingabe!$L$36)*(1+Eingabe!$J$35)^Ergebnis!D39,-(Eingabe!$L$35)*(1+Eingabe!$J$35)^Ergebnis!D39),"")</f>
        <v>0</v>
      </c>
      <c r="G39" s="65">
        <f>IF(A39&lt;=Eingabe!$D$22,G38*(1+Eingabe!$J$37),"")</f>
        <v>0</v>
      </c>
      <c r="H39" s="65">
        <f>IF(A39&lt;=Eingabe!$D$22,(-Eingabe!$L$40*(1+Eingabe!$J$40)^Ergebnis!D39)-(Eingabe!$L$41*(1+Eingabe!$J$41)^Ergebnis!D39)-(Eingabe!$L$42*(1+Eingabe!$J$42)^Ergebnis!D39),"")</f>
        <v>-1206.9799415348398</v>
      </c>
      <c r="I39" s="66">
        <f>IF(A39&lt;=Eingabe!$D$22,Eingabe!$D$46*(1+Eingabe!$J$46)^D39,"")</f>
        <v>0</v>
      </c>
      <c r="J39" s="83">
        <v>0</v>
      </c>
      <c r="K39" s="81">
        <f>IF(D39&lt;=Eingabe!$D$22,IF(D39=Eingabe!$D$30,(Eingabe!$L$29*Eingabe!$I$29)*(1+Eingabe!$J$29)^Ergebnis!D39,IF(D39=Eingabe!$D$31,(Eingabe!$L$30*Eingabe!$I$30)*(1+Eingabe!$J$30)^Ergebnis!D39,IF(D39=Eingabe!$D$32,(Eingabe!$L$31*Eingabe!$I$31)*(1+Eingabe!$J$31)^Ergebnis!D39,IF(D39=Eingabe!$D$33,(Eingabe!$L$32*Eingabe!$I$32)*(1+Eingabe!$J$32)^Ergebnis!D39,0)))),"")</f>
        <v>0</v>
      </c>
      <c r="L39" s="58">
        <f>IF(A39&lt;=Eingabe!$D$22,SUM(E39:K39),"")</f>
        <v>-1206.9799415348398</v>
      </c>
      <c r="M39" s="62">
        <f>IF(A39&lt;=Eingabe!$D$22,L39/(1+Eingabe!$D$23)^D39,"")</f>
        <v>-992.04953126230214</v>
      </c>
      <c r="N39" s="62">
        <f>IF(A39&lt;=Eingabe!$D$22,N38+M39,"")</f>
        <v>-30263.799114169142</v>
      </c>
      <c r="T39" s="91">
        <f t="shared" si="0"/>
        <v>-1206.9799415348398</v>
      </c>
      <c r="U39" s="91">
        <f t="shared" si="4"/>
        <v>4978.3823649116748</v>
      </c>
      <c r="V39" s="91">
        <f t="shared" si="5"/>
        <v>6185.3623064465146</v>
      </c>
      <c r="X39" s="89">
        <v>5</v>
      </c>
      <c r="Y39" s="40">
        <f t="shared" si="1"/>
        <v>-30263.799114169142</v>
      </c>
      <c r="Z39" s="40">
        <f t="shared" si="2"/>
        <v>-43334.162024863093</v>
      </c>
      <c r="AA39" s="40">
        <f>IFERROR(Z39-Y39,0)</f>
        <v>-13070.362910693952</v>
      </c>
      <c r="AB39" s="41">
        <f t="shared" si="3"/>
        <v>0</v>
      </c>
      <c r="AE39" s="71">
        <f>IF(Y39&gt;0,IF(SUM(AE34:AE38)=0,X39,0),0)</f>
        <v>0</v>
      </c>
      <c r="AF39" s="71">
        <f>IF(Z39&gt;0,IF(SUM(AF34:AF38)=0,X39,0),0)</f>
        <v>0</v>
      </c>
      <c r="AG39" s="71"/>
      <c r="AH39" s="71"/>
    </row>
    <row r="40" spans="1:34" x14ac:dyDescent="0.25">
      <c r="A40" s="39">
        <v>6</v>
      </c>
      <c r="B40" s="26"/>
      <c r="C40" s="61">
        <f>IF(A40&lt;=Eingabe!$D$22,C39+1,"")</f>
        <v>2024</v>
      </c>
      <c r="D40" s="57">
        <f>IF(A40&lt;=Eingabe!$D$22,D39+1,"")</f>
        <v>6</v>
      </c>
      <c r="E40" s="64">
        <f>IF(A40&lt;=Eingabe!$D$22,IF(D40=Eingabe!$D$30,-Eingabe!$L$30*(1+Eingabe!$J$30)^D40,IF(D40=Eingabe!$D$31,-Eingabe!$L$31*(1+Eingabe!$J$31)^D40,IF(D40=Eingabe!$D$32,-Eingabe!$L$32*(1+Eingabe!$J$32)^D40,0))),"")</f>
        <v>0</v>
      </c>
      <c r="F40" s="63">
        <f>IF(A40&lt;=Eingabe!$D$22,IF(D40=Eingabe!$D$36,-(Eingabe!$L$35+Eingabe!$L$36)*(1+Eingabe!$J$35)^Ergebnis!D40,-(Eingabe!$L$35)*(1+Eingabe!$J$35)^Ergebnis!D40),"")</f>
        <v>0</v>
      </c>
      <c r="G40" s="65">
        <f>IF(A40&lt;=Eingabe!$D$22,G39*(1+Eingabe!$J$37),"")</f>
        <v>0</v>
      </c>
      <c r="H40" s="65">
        <f>IF(A40&lt;=Eingabe!$D$22,(-Eingabe!$L$40*(1+Eingabe!$J$40)^Ergebnis!D40)-(Eingabe!$L$41*(1+Eingabe!$J$41)^Ergebnis!D40)-(Eingabe!$L$42*(1+Eingabe!$J$42)^Ergebnis!D40),"")</f>
        <v>-1219.0497409501884</v>
      </c>
      <c r="I40" s="66">
        <f>IF(A40&lt;=Eingabe!$D$22,Eingabe!$D$46*(1+Eingabe!$J$46)^D40,"")</f>
        <v>0</v>
      </c>
      <c r="J40" s="83">
        <v>0</v>
      </c>
      <c r="K40" s="81">
        <f>IF(D40&lt;=Eingabe!$D$22,IF(D40=Eingabe!$D$30,(Eingabe!$L$29*Eingabe!$I$29)*(1+Eingabe!$J$29)^Ergebnis!D40,IF(D40=Eingabe!$D$31,(Eingabe!$L$30*Eingabe!$I$30)*(1+Eingabe!$J$30)^Ergebnis!D40,IF(D40=Eingabe!$D$32,(Eingabe!$L$31*Eingabe!$I$31)*(1+Eingabe!$J$31)^Ergebnis!D40,IF(D40=Eingabe!$D$33,(Eingabe!$L$32*Eingabe!$I$32)*(1+Eingabe!$J$32)^Ergebnis!D40,0)))),"")</f>
        <v>0</v>
      </c>
      <c r="L40" s="58">
        <f>IF(A40&lt;=Eingabe!$D$22,SUM(E40:K40),"")</f>
        <v>-1219.0497409501884</v>
      </c>
      <c r="M40" s="62">
        <f>IF(A40&lt;=Eingabe!$D$22,L40/(1+Eingabe!$D$23)^D40,"")</f>
        <v>-963.43271786050514</v>
      </c>
      <c r="N40" s="62">
        <f>IF(A40&lt;=Eingabe!$D$22,N39+M40,"")</f>
        <v>-31227.231832029647</v>
      </c>
      <c r="T40" s="91">
        <f t="shared" si="0"/>
        <v>-1219.0497409501884</v>
      </c>
      <c r="U40" s="91">
        <f t="shared" si="4"/>
        <v>5028.1661885607937</v>
      </c>
      <c r="V40" s="91">
        <f t="shared" si="5"/>
        <v>6247.2159295109823</v>
      </c>
      <c r="X40" s="89">
        <v>6</v>
      </c>
      <c r="Y40" s="40">
        <f t="shared" si="1"/>
        <v>-31227.231832029647</v>
      </c>
      <c r="Z40" s="40">
        <f t="shared" si="2"/>
        <v>-39360.329248258313</v>
      </c>
      <c r="AA40" s="40">
        <f t="shared" si="6"/>
        <v>-8133.0974162286657</v>
      </c>
      <c r="AB40" s="41">
        <f t="shared" si="3"/>
        <v>0</v>
      </c>
      <c r="AE40" s="71">
        <f>IF(Y40&gt;0,IF(SUM(AE34:AE39)=0,X40,0),0)</f>
        <v>0</v>
      </c>
      <c r="AF40" s="71">
        <f>IF(Z40&gt;0,IF(SUM(AF34:AF39)=0,X40,0),0)</f>
        <v>0</v>
      </c>
      <c r="AG40" s="71"/>
      <c r="AH40" s="71"/>
    </row>
    <row r="41" spans="1:34" x14ac:dyDescent="0.25">
      <c r="A41" s="39">
        <v>7</v>
      </c>
      <c r="B41" s="26"/>
      <c r="C41" s="61">
        <f>IF(A41&lt;=Eingabe!$D$22,C40+1,"")</f>
        <v>2025</v>
      </c>
      <c r="D41" s="57">
        <f>IF(A41&lt;=Eingabe!$D$22,D40+1,"")</f>
        <v>7</v>
      </c>
      <c r="E41" s="64">
        <f>IF(A41&lt;=Eingabe!$D$22,IF(D41=Eingabe!$D$30,-Eingabe!$L$30*(1+Eingabe!$J$30)^D41,IF(D41=Eingabe!$D$31,-Eingabe!$L$31*(1+Eingabe!$J$31)^D41,IF(D41=Eingabe!$D$32,-Eingabe!$L$32*(1+Eingabe!$J$32)^D41,0))),"")</f>
        <v>0</v>
      </c>
      <c r="F41" s="63">
        <f>IF(A41&lt;=Eingabe!$D$22,IF(D41=Eingabe!$D$36,-(Eingabe!$L$35+Eingabe!$L$36)*(1+Eingabe!$J$35)^Ergebnis!D41,-(Eingabe!$L$35)*(1+Eingabe!$J$35)^Ergebnis!D41),"")</f>
        <v>0</v>
      </c>
      <c r="G41" s="65">
        <f>IF(A41&lt;=Eingabe!$D$22,G40*(1+Eingabe!$J$37),"")</f>
        <v>0</v>
      </c>
      <c r="H41" s="65">
        <f>IF(A41&lt;=Eingabe!$D$22,(-Eingabe!$L$40*(1+Eingabe!$J$40)^Ergebnis!D41)-(Eingabe!$L$41*(1+Eingabe!$J$41)^Ergebnis!D41)-(Eingabe!$L$42*(1+Eingabe!$J$42)^Ergebnis!D41),"")</f>
        <v>-1231.24023835969</v>
      </c>
      <c r="I41" s="66">
        <f>IF(A41&lt;=Eingabe!$D$22,Eingabe!$D$46*(1+Eingabe!$J$46)^D41,"")</f>
        <v>0</v>
      </c>
      <c r="J41" s="83">
        <v>0</v>
      </c>
      <c r="K41" s="81">
        <f>IF(D41&lt;=Eingabe!$D$22,IF(D41=Eingabe!$D$30,(Eingabe!$L$29*Eingabe!$I$29)*(1+Eingabe!$J$29)^Ergebnis!D41,IF(D41=Eingabe!$D$31,(Eingabe!$L$30*Eingabe!$I$30)*(1+Eingabe!$J$30)^Ergebnis!D41,IF(D41=Eingabe!$D$32,(Eingabe!$L$31*Eingabe!$I$31)*(1+Eingabe!$J$31)^Ergebnis!D41,IF(D41=Eingabe!$D$33,(Eingabe!$L$32*Eingabe!$I$32)*(1+Eingabe!$J$32)^Ergebnis!D41,0)))),"")</f>
        <v>0</v>
      </c>
      <c r="L41" s="58">
        <f>IF(A41&lt;=Eingabe!$D$22,SUM(E41:K41),"")</f>
        <v>-1231.24023835969</v>
      </c>
      <c r="M41" s="62">
        <f>IF(A41&lt;=Eingabe!$D$22,L41/(1+Eingabe!$D$23)^D41,"")</f>
        <v>-935.64138946068272</v>
      </c>
      <c r="N41" s="62">
        <f>IF(A41&lt;=Eingabe!$D$22,N40+M41,"")</f>
        <v>-32162.873221490328</v>
      </c>
      <c r="T41" s="91">
        <f t="shared" si="0"/>
        <v>-1231.24023835969</v>
      </c>
      <c r="U41" s="91">
        <f t="shared" si="4"/>
        <v>5078.4478504464005</v>
      </c>
      <c r="V41" s="91">
        <f t="shared" si="5"/>
        <v>6309.6880888060905</v>
      </c>
      <c r="X41" s="89">
        <v>7</v>
      </c>
      <c r="Y41" s="40">
        <f t="shared" si="1"/>
        <v>-32162.873221490328</v>
      </c>
      <c r="Z41" s="40">
        <f t="shared" si="2"/>
        <v>-35501.126263286365</v>
      </c>
      <c r="AA41" s="40">
        <f t="shared" si="6"/>
        <v>-3338.253041796037</v>
      </c>
      <c r="AB41" s="41">
        <f t="shared" si="3"/>
        <v>7.7168969009859092</v>
      </c>
      <c r="AE41" s="71">
        <f>IF(Y41&gt;0,IF(SUM(AE34:AE40)=0,X41,0),0)</f>
        <v>0</v>
      </c>
      <c r="AF41" s="71">
        <f>IF(Z41&gt;0,IF(SUM(AF34:AF40)=0,X41,0),0)</f>
        <v>0</v>
      </c>
      <c r="AG41" s="71"/>
      <c r="AH41" s="71"/>
    </row>
    <row r="42" spans="1:34" x14ac:dyDescent="0.25">
      <c r="A42" s="39">
        <v>8</v>
      </c>
      <c r="B42" s="26"/>
      <c r="C42" s="61">
        <f>IF(A42&lt;=Eingabe!$D$22,C41+1,"")</f>
        <v>2026</v>
      </c>
      <c r="D42" s="57">
        <f>IF(A42&lt;=Eingabe!$D$22,D41+1,"")</f>
        <v>8</v>
      </c>
      <c r="E42" s="64">
        <f>IF(A42&lt;=Eingabe!$D$22,IF(D42=Eingabe!$D$30,-Eingabe!$L$30*(1+Eingabe!$J$30)^D42,IF(D42=Eingabe!$D$31,-Eingabe!$L$31*(1+Eingabe!$J$31)^D42,IF(D42=Eingabe!$D$32,-Eingabe!$L$32*(1+Eingabe!$J$32)^D42,0))),"")</f>
        <v>0</v>
      </c>
      <c r="F42" s="63">
        <f>IF(A42&lt;=Eingabe!$D$22,IF(D42=Eingabe!$D$36,-(Eingabe!$L$35+Eingabe!$L$36)*(1+Eingabe!$J$35)^Ergebnis!D42,-(Eingabe!$L$35)*(1+Eingabe!$J$35)^Ergebnis!D42),"")</f>
        <v>0</v>
      </c>
      <c r="G42" s="65">
        <f>IF(A42&lt;=Eingabe!$D$22,G41*(1+Eingabe!$J$37),"")</f>
        <v>0</v>
      </c>
      <c r="H42" s="65">
        <f>IF(A42&lt;=Eingabe!$D$22,(-Eingabe!$L$40*(1+Eingabe!$J$40)^Ergebnis!D42)-(Eingabe!$L$41*(1+Eingabe!$J$41)^Ergebnis!D42)-(Eingabe!$L$42*(1+Eingabe!$J$42)^Ergebnis!D42),"")</f>
        <v>-1243.5526407432872</v>
      </c>
      <c r="I42" s="66">
        <f>IF(A42&lt;=Eingabe!$D$22,Eingabe!$D$46*(1+Eingabe!$J$46)^D42,"")</f>
        <v>0</v>
      </c>
      <c r="J42" s="83">
        <v>0</v>
      </c>
      <c r="K42" s="81">
        <f>IF(D42&lt;=Eingabe!$D$22,IF(D42=Eingabe!$D$30,(Eingabe!$L$29*Eingabe!$I$29)*(1+Eingabe!$J$29)^Ergebnis!D42,IF(D42=Eingabe!$D$31,(Eingabe!$L$30*Eingabe!$I$30)*(1+Eingabe!$J$30)^Ergebnis!D42,IF(D42=Eingabe!$D$32,(Eingabe!$L$31*Eingabe!$I$31)*(1+Eingabe!$J$31)^Ergebnis!D42,IF(D42=Eingabe!$D$33,(Eingabe!$L$32*Eingabe!$I$32)*(1+Eingabe!$J$32)^Ergebnis!D42,0)))),"")</f>
        <v>0</v>
      </c>
      <c r="L42" s="58">
        <f>IF(A42&lt;=Eingabe!$D$22,SUM(E42:K42),"")</f>
        <v>-1243.5526407432872</v>
      </c>
      <c r="M42" s="62">
        <f>IF(A42&lt;=Eingabe!$D$22,L42/(1+Eingabe!$D$23)^D42,"")</f>
        <v>-908.65173399547075</v>
      </c>
      <c r="N42" s="62">
        <f>IF(A42&lt;=Eingabe!$D$22,N41+M42,"")</f>
        <v>-33071.524955485802</v>
      </c>
      <c r="T42" s="91">
        <f t="shared" si="0"/>
        <v>-1243.5526407432872</v>
      </c>
      <c r="U42" s="91">
        <f t="shared" si="4"/>
        <v>5129.2323289508649</v>
      </c>
      <c r="V42" s="91">
        <f t="shared" si="5"/>
        <v>6372.7849696941521</v>
      </c>
      <c r="X42" s="89">
        <v>8</v>
      </c>
      <c r="Y42" s="40">
        <f t="shared" si="1"/>
        <v>-33071.524955485802</v>
      </c>
      <c r="Z42" s="40">
        <f t="shared" si="2"/>
        <v>-31753.246441342457</v>
      </c>
      <c r="AA42" s="40">
        <f t="shared" si="6"/>
        <v>1318.2785141433451</v>
      </c>
      <c r="AB42" s="41">
        <f t="shared" si="3"/>
        <v>0</v>
      </c>
      <c r="AE42" s="71">
        <f>IF(Y42&gt;0,IF(SUM(AE34:AE41)=0,X42,0),0)</f>
        <v>0</v>
      </c>
      <c r="AF42" s="71">
        <f>IF(Z42&gt;0,IF(SUM(AF34:AF41)=0,X42,0),0)</f>
        <v>0</v>
      </c>
      <c r="AG42" s="71"/>
      <c r="AH42" s="71"/>
    </row>
    <row r="43" spans="1:34" x14ac:dyDescent="0.25">
      <c r="A43" s="39">
        <v>9</v>
      </c>
      <c r="B43" s="26"/>
      <c r="C43" s="61">
        <f>IF(A43&lt;=Eingabe!$D$22,C42+1,"")</f>
        <v>2027</v>
      </c>
      <c r="D43" s="57">
        <f>IF(A43&lt;=Eingabe!$D$22,D42+1,"")</f>
        <v>9</v>
      </c>
      <c r="E43" s="64">
        <f>IF(A43&lt;=Eingabe!$D$22,IF(D43=Eingabe!$D$30,-Eingabe!$L$30*(1+Eingabe!$J$30)^D43,IF(D43=Eingabe!$D$31,-Eingabe!$L$31*(1+Eingabe!$J$31)^D43,IF(D43=Eingabe!$D$32,-Eingabe!$L$32*(1+Eingabe!$J$32)^D43,0))),"")</f>
        <v>0</v>
      </c>
      <c r="F43" s="63">
        <f>IF(A43&lt;=Eingabe!$D$22,IF(D43=Eingabe!$D$36,-(Eingabe!$L$35+Eingabe!$L$36)*(1+Eingabe!$J$35)^Ergebnis!D43,-(Eingabe!$L$35)*(1+Eingabe!$J$35)^Ergebnis!D43),"")</f>
        <v>0</v>
      </c>
      <c r="G43" s="65">
        <f>IF(A43&lt;=Eingabe!$D$22,G42*(1+Eingabe!$J$37),"")</f>
        <v>0</v>
      </c>
      <c r="H43" s="65">
        <f>IF(A43&lt;=Eingabe!$D$22,(-Eingabe!$L$40*(1+Eingabe!$J$40)^Ergebnis!D43)-(Eingabe!$L$41*(1+Eingabe!$J$41)^Ergebnis!D43)-(Eingabe!$L$42*(1+Eingabe!$J$42)^Ergebnis!D43),"")</f>
        <v>-1255.9881671507201</v>
      </c>
      <c r="I43" s="66">
        <f>IF(A43&lt;=Eingabe!$D$22,Eingabe!$D$46*(1+Eingabe!$J$46)^D43,"")</f>
        <v>0</v>
      </c>
      <c r="J43" s="83">
        <v>0</v>
      </c>
      <c r="K43" s="81">
        <f>IF(D43&lt;=Eingabe!$D$22,IF(D43=Eingabe!$D$30,(Eingabe!$L$29*Eingabe!$I$29)*(1+Eingabe!$J$29)^Ergebnis!D43,IF(D43=Eingabe!$D$31,(Eingabe!$L$30*Eingabe!$I$30)*(1+Eingabe!$J$30)^Ergebnis!D43,IF(D43=Eingabe!$D$32,(Eingabe!$L$31*Eingabe!$I$31)*(1+Eingabe!$J$31)^Ergebnis!D43,IF(D43=Eingabe!$D$33,(Eingabe!$L$32*Eingabe!$I$32)*(1+Eingabe!$J$32)^Ergebnis!D43,0)))),"")</f>
        <v>0</v>
      </c>
      <c r="L43" s="58">
        <f>IF(A43&lt;=Eingabe!$D$22,SUM(E43:K43),"")</f>
        <v>-1255.9881671507201</v>
      </c>
      <c r="M43" s="62">
        <f>IF(A43&lt;=Eingabe!$D$22,L43/(1+Eingabe!$D$23)^D43,"")</f>
        <v>-882.44062628406289</v>
      </c>
      <c r="N43" s="62">
        <f>IF(A43&lt;=Eingabe!$D$22,N42+M43,"")</f>
        <v>-33953.965581769866</v>
      </c>
      <c r="T43" s="91">
        <f t="shared" si="0"/>
        <v>-1255.9881671507201</v>
      </c>
      <c r="U43" s="91">
        <f t="shared" si="4"/>
        <v>5180.5246522403741</v>
      </c>
      <c r="V43" s="91">
        <f t="shared" si="5"/>
        <v>6436.5128193910941</v>
      </c>
      <c r="X43" s="89">
        <v>9</v>
      </c>
      <c r="Y43" s="40">
        <f t="shared" si="1"/>
        <v>-33953.965581769866</v>
      </c>
      <c r="Z43" s="40">
        <f t="shared" si="2"/>
        <v>-28113.478537339237</v>
      </c>
      <c r="AA43" s="40">
        <f t="shared" si="6"/>
        <v>5840.4870444306289</v>
      </c>
      <c r="AB43" s="41">
        <f t="shared" si="3"/>
        <v>0</v>
      </c>
      <c r="AE43" s="71">
        <f>IF(Y43&gt;0,IF(SUM(AE34:AE42)=0,X43,0),0)</f>
        <v>0</v>
      </c>
      <c r="AF43" s="71">
        <f>IF(Z43&gt;0,IF(SUM(AF34:AF42)=0,X43,0),0)</f>
        <v>0</v>
      </c>
      <c r="AG43" s="71"/>
      <c r="AH43" s="71"/>
    </row>
    <row r="44" spans="1:34" x14ac:dyDescent="0.25">
      <c r="A44" s="39">
        <v>10</v>
      </c>
      <c r="B44" s="26"/>
      <c r="C44" s="61">
        <f>IF(A44&lt;=Eingabe!$D$22,C43+1,"")</f>
        <v>2028</v>
      </c>
      <c r="D44" s="57">
        <f>IF(A44&lt;=Eingabe!$D$22,D43+1,"")</f>
        <v>10</v>
      </c>
      <c r="E44" s="64">
        <f>IF(A44&lt;=Eingabe!$D$22,IF(D44=Eingabe!$D$30,-Eingabe!$L$30*(1+Eingabe!$J$30)^D44,IF(D44=Eingabe!$D$31,-Eingabe!$L$31*(1+Eingabe!$J$31)^D44,IF(D44=Eingabe!$D$32,-Eingabe!$L$32*(1+Eingabe!$J$32)^D44,0))),"")</f>
        <v>0</v>
      </c>
      <c r="F44" s="63">
        <f>IF(A44&lt;=Eingabe!$D$22,IF(D44=Eingabe!$D$36,-(Eingabe!$L$35+Eingabe!$L$36)*(1+Eingabe!$J$35)^Ergebnis!D44,-(Eingabe!$L$35)*(1+Eingabe!$J$35)^Ergebnis!D44),"")</f>
        <v>0</v>
      </c>
      <c r="G44" s="65">
        <f>IF(A44&lt;=Eingabe!$D$22,G43*(1+Eingabe!$J$37),"")</f>
        <v>0</v>
      </c>
      <c r="H44" s="65">
        <f>IF(A44&lt;=Eingabe!$D$22,(-Eingabe!$L$40*(1+Eingabe!$J$40)^Ergebnis!D44)-(Eingabe!$L$41*(1+Eingabe!$J$41)^Ergebnis!D44)-(Eingabe!$L$42*(1+Eingabe!$J$42)^Ergebnis!D44),"")</f>
        <v>-1268.5480488222274</v>
      </c>
      <c r="I44" s="66">
        <f>IF(A44&lt;=Eingabe!$D$22,Eingabe!$D$46*(1+Eingabe!$J$46)^D44,"")</f>
        <v>0</v>
      </c>
      <c r="J44" s="83">
        <v>0</v>
      </c>
      <c r="K44" s="81">
        <f>IF(D44&lt;=Eingabe!$D$22,IF(D44=Eingabe!$D$30,(Eingabe!$L$29*Eingabe!$I$29)*(1+Eingabe!$J$29)^Ergebnis!D44,IF(D44=Eingabe!$D$31,(Eingabe!$L$30*Eingabe!$I$30)*(1+Eingabe!$J$30)^Ergebnis!D44,IF(D44=Eingabe!$D$32,(Eingabe!$L$31*Eingabe!$I$31)*(1+Eingabe!$J$31)^Ergebnis!D44,IF(D44=Eingabe!$D$33,(Eingabe!$L$32*Eingabe!$I$32)*(1+Eingabe!$J$32)^Ergebnis!D44,0)))),"")</f>
        <v>0</v>
      </c>
      <c r="L44" s="58">
        <f>IF(A44&lt;=Eingabe!$D$22,SUM(E44:K44),"")</f>
        <v>-1268.5480488222274</v>
      </c>
      <c r="M44" s="62">
        <f>IF(A44&lt;=Eingabe!$D$22,L44/(1+Eingabe!$D$23)^D44,"")</f>
        <v>-856.98560821817659</v>
      </c>
      <c r="N44" s="62">
        <f>IF(A44&lt;=Eingabe!$D$22,N43+M44,"")</f>
        <v>-34810.951189988045</v>
      </c>
      <c r="T44" s="91">
        <f t="shared" si="0"/>
        <v>-1268.5480488222274</v>
      </c>
      <c r="U44" s="91">
        <f t="shared" si="4"/>
        <v>5232.3298987627777</v>
      </c>
      <c r="V44" s="91">
        <f t="shared" si="5"/>
        <v>6500.8779475850051</v>
      </c>
      <c r="X44" s="89">
        <v>10</v>
      </c>
      <c r="Y44" s="40">
        <f t="shared" si="1"/>
        <v>-34810.951189988045</v>
      </c>
      <c r="Z44" s="40">
        <f t="shared" si="2"/>
        <v>-24578.703938259187</v>
      </c>
      <c r="AA44" s="40">
        <f t="shared" si="6"/>
        <v>10232.247251728859</v>
      </c>
      <c r="AB44" s="41">
        <f t="shared" si="3"/>
        <v>0</v>
      </c>
      <c r="AE44" s="71">
        <f>IF(Y44&gt;0,IF(SUM(AE34:AE43)=0,X44,0),0)</f>
        <v>0</v>
      </c>
      <c r="AF44" s="71">
        <f>IF(Z44&gt;0,IF(SUM(AF34:AF43)=0,X44,0),0)</f>
        <v>0</v>
      </c>
      <c r="AG44" s="71"/>
      <c r="AH44" s="71"/>
    </row>
    <row r="45" spans="1:34" x14ac:dyDescent="0.25">
      <c r="A45" s="39">
        <v>11</v>
      </c>
      <c r="B45" s="26"/>
      <c r="C45" s="61">
        <f>IF(A45&lt;=Eingabe!$D$22,C44+1,"")</f>
        <v>2029</v>
      </c>
      <c r="D45" s="57">
        <f>IF(A45&lt;=Eingabe!$D$22,D44+1,"")</f>
        <v>11</v>
      </c>
      <c r="E45" s="64">
        <f>IF(A45&lt;=Eingabe!$D$22,IF(D45=Eingabe!$D$30,-Eingabe!$L$30*(1+Eingabe!$J$30)^D45,IF(D45=Eingabe!$D$31,-Eingabe!$L$31*(1+Eingabe!$J$31)^D45,IF(D45=Eingabe!$D$32,-Eingabe!$L$32*(1+Eingabe!$J$32)^D45,0))),"")</f>
        <v>0</v>
      </c>
      <c r="F45" s="63">
        <f>IF(A45&lt;=Eingabe!$D$22,IF(D45=Eingabe!$D$36,-(Eingabe!$L$35+Eingabe!$L$36)*(1+Eingabe!$J$35)^Ergebnis!D45,-(Eingabe!$L$35)*(1+Eingabe!$J$35)^Ergebnis!D45),"")</f>
        <v>0</v>
      </c>
      <c r="G45" s="65">
        <f>IF(A45&lt;=Eingabe!$D$22,G44*(1+Eingabe!$J$37),"")</f>
        <v>0</v>
      </c>
      <c r="H45" s="65">
        <f>IF(A45&lt;=Eingabe!$D$22,(-Eingabe!$L$40*(1+Eingabe!$J$40)^Ergebnis!D45)-(Eingabe!$L$41*(1+Eingabe!$J$41)^Ergebnis!D45)-(Eingabe!$L$42*(1+Eingabe!$J$42)^Ergebnis!D45),"")</f>
        <v>-1281.2335293104493</v>
      </c>
      <c r="I45" s="66">
        <f>IF(A45&lt;=Eingabe!$D$22,Eingabe!$D$46*(1+Eingabe!$J$46)^D45,"")</f>
        <v>0</v>
      </c>
      <c r="J45" s="83">
        <v>0</v>
      </c>
      <c r="K45" s="81">
        <f>IF(D45&lt;=Eingabe!$D$22,IF(D45=Eingabe!$D$30,(Eingabe!$L$29*Eingabe!$I$29)*(1+Eingabe!$J$29)^Ergebnis!D45,IF(D45=Eingabe!$D$31,(Eingabe!$L$30*Eingabe!$I$30)*(1+Eingabe!$J$30)^Ergebnis!D45,IF(D45=Eingabe!$D$32,(Eingabe!$L$31*Eingabe!$I$31)*(1+Eingabe!$J$31)^Ergebnis!D45,IF(D45=Eingabe!$D$33,(Eingabe!$L$32*Eingabe!$I$32)*(1+Eingabe!$J$32)^Ergebnis!D45,0)))),"")</f>
        <v>0</v>
      </c>
      <c r="L45" s="58">
        <f>IF(A45&lt;=Eingabe!$D$22,SUM(E45:K45),"")</f>
        <v>-1281.2335293104493</v>
      </c>
      <c r="M45" s="62">
        <f>IF(A45&lt;=Eingabe!$D$22,L45/(1+Eingabe!$D$23)^D45,"")</f>
        <v>-832.26486951957509</v>
      </c>
      <c r="N45" s="62">
        <f>IF(A45&lt;=Eingabe!$D$22,N44+M45,"")</f>
        <v>-35643.21605950762</v>
      </c>
      <c r="T45" s="91">
        <f t="shared" si="0"/>
        <v>-1281.2335293104493</v>
      </c>
      <c r="U45" s="91">
        <f t="shared" si="4"/>
        <v>5284.6531977504046</v>
      </c>
      <c r="V45" s="91">
        <f t="shared" si="5"/>
        <v>6565.8867270608534</v>
      </c>
      <c r="X45" s="89">
        <v>11</v>
      </c>
      <c r="Y45" s="40">
        <f t="shared" si="1"/>
        <v>-35643.21605950762</v>
      </c>
      <c r="Z45" s="40">
        <f t="shared" si="2"/>
        <v>-21145.893991075674</v>
      </c>
      <c r="AA45" s="40">
        <f t="shared" si="6"/>
        <v>14497.322068431946</v>
      </c>
      <c r="AB45" s="41">
        <f t="shared" si="3"/>
        <v>0</v>
      </c>
      <c r="AE45" s="71">
        <f>IF(Y45&gt;0,IF(SUM(AE34:AE44)=0,X45,0),0)</f>
        <v>0</v>
      </c>
      <c r="AF45" s="71">
        <f>IF(Z45&gt;0,IF(SUM(AF34:AF44)=0,X45,0),0)</f>
        <v>0</v>
      </c>
      <c r="AG45" s="71"/>
      <c r="AH45" s="71"/>
    </row>
    <row r="46" spans="1:34" x14ac:dyDescent="0.25">
      <c r="A46" s="39">
        <v>12</v>
      </c>
      <c r="B46" s="26"/>
      <c r="C46" s="61">
        <f>IF(A46&lt;=Eingabe!$D$22,C45+1,"")</f>
        <v>2030</v>
      </c>
      <c r="D46" s="57">
        <f>IF(A46&lt;=Eingabe!$D$22,D45+1,"")</f>
        <v>12</v>
      </c>
      <c r="E46" s="64">
        <f>IF(A46&lt;=Eingabe!$D$22,IF(D46=Eingabe!$D$30,-Eingabe!$L$30*(1+Eingabe!$J$30)^D46,IF(D46=Eingabe!$D$31,-Eingabe!$L$31*(1+Eingabe!$J$31)^D46,IF(D46=Eingabe!$D$32,-Eingabe!$L$32*(1+Eingabe!$J$32)^D46,0))),"")</f>
        <v>0</v>
      </c>
      <c r="F46" s="63">
        <f>IF(A46&lt;=Eingabe!$D$22,IF(D46=Eingabe!$D$36,-(Eingabe!$L$35+Eingabe!$L$36)*(1+Eingabe!$J$35)^Ergebnis!D46,-(Eingabe!$L$35)*(1+Eingabe!$J$35)^Ergebnis!D46),"")</f>
        <v>0</v>
      </c>
      <c r="G46" s="65">
        <f>IF(A46&lt;=Eingabe!$D$22,G45*(1+Eingabe!$J$37),"")</f>
        <v>0</v>
      </c>
      <c r="H46" s="65">
        <f>IF(A46&lt;=Eingabe!$D$22,(-Eingabe!$L$40*(1+Eingabe!$J$40)^Ergebnis!D46)-(Eingabe!$L$41*(1+Eingabe!$J$41)^Ergebnis!D46)-(Eingabe!$L$42*(1+Eingabe!$J$42)^Ergebnis!D46),"")</f>
        <v>-1294.045864603554</v>
      </c>
      <c r="I46" s="66">
        <f>IF(A46&lt;=Eingabe!$D$22,Eingabe!$D$46*(1+Eingabe!$J$46)^D46,"")</f>
        <v>0</v>
      </c>
      <c r="J46" s="83">
        <v>0</v>
      </c>
      <c r="K46" s="81">
        <f>IF(D46&lt;=Eingabe!$D$22,IF(D46=Eingabe!$D$30,(Eingabe!$L$29*Eingabe!$I$29)*(1+Eingabe!$J$29)^Ergebnis!D46,IF(D46=Eingabe!$D$31,(Eingabe!$L$30*Eingabe!$I$30)*(1+Eingabe!$J$30)^Ergebnis!D46,IF(D46=Eingabe!$D$32,(Eingabe!$L$31*Eingabe!$I$31)*(1+Eingabe!$J$31)^Ergebnis!D46,IF(D46=Eingabe!$D$33,(Eingabe!$L$32*Eingabe!$I$32)*(1+Eingabe!$J$32)^Ergebnis!D46,0)))),"")</f>
        <v>0</v>
      </c>
      <c r="L46" s="58">
        <f>IF(A46&lt;=Eingabe!$D$22,SUM(E46:K46),"")</f>
        <v>-1294.045864603554</v>
      </c>
      <c r="M46" s="62">
        <f>IF(A46&lt;=Eingabe!$D$22,L46/(1+Eingabe!$D$23)^D46,"")</f>
        <v>-808.25722905266434</v>
      </c>
      <c r="N46" s="62">
        <f>IF(A46&lt;=Eingabe!$D$22,N45+M46,"")</f>
        <v>-36451.473288560286</v>
      </c>
      <c r="T46" s="91">
        <f t="shared" si="0"/>
        <v>-1294.045864603554</v>
      </c>
      <c r="U46" s="91">
        <f t="shared" si="4"/>
        <v>5337.4997297279097</v>
      </c>
      <c r="V46" s="91">
        <f t="shared" si="5"/>
        <v>6631.5455943314637</v>
      </c>
      <c r="X46" s="89">
        <v>12</v>
      </c>
      <c r="Y46" s="40">
        <f t="shared" si="1"/>
        <v>-36451.473288560286</v>
      </c>
      <c r="Z46" s="40">
        <f t="shared" si="2"/>
        <v>-17812.107407753228</v>
      </c>
      <c r="AA46" s="40">
        <f t="shared" si="6"/>
        <v>18639.365880807058</v>
      </c>
      <c r="AB46" s="41">
        <f t="shared" si="3"/>
        <v>0</v>
      </c>
      <c r="AE46" s="71">
        <f>IF(Y46&gt;0,IF(SUM(AE34:AE45)=0,W46,0),0)</f>
        <v>0</v>
      </c>
      <c r="AF46" s="71">
        <f>IF(Z46&gt;0,IF(SUM(AF34:AF45)=0,X46,0),0)</f>
        <v>0</v>
      </c>
      <c r="AG46" s="71"/>
      <c r="AH46" s="71"/>
    </row>
    <row r="47" spans="1:34" x14ac:dyDescent="0.25">
      <c r="A47" s="39">
        <v>13</v>
      </c>
      <c r="B47" s="26"/>
      <c r="C47" s="61">
        <f>IF(A47&lt;=Eingabe!$D$22,C46+1,"")</f>
        <v>2031</v>
      </c>
      <c r="D47" s="57">
        <f>IF(A47&lt;=Eingabe!$D$22,D46+1,"")</f>
        <v>13</v>
      </c>
      <c r="E47" s="64">
        <f>IF(A47&lt;=Eingabe!$D$22,IF(D47=Eingabe!$D$30,-Eingabe!$L$30*(1+Eingabe!$J$30)^D47,IF(D47=Eingabe!$D$31,-Eingabe!$L$31*(1+Eingabe!$J$31)^D47,IF(D47=Eingabe!$D$32,-Eingabe!$L$32*(1+Eingabe!$J$32)^D47,0))),"")</f>
        <v>0</v>
      </c>
      <c r="F47" s="63">
        <f>IF(A47&lt;=Eingabe!$D$22,IF(D47=Eingabe!$D$36,-(Eingabe!$L$35+Eingabe!$L$36)*(1+Eingabe!$J$35)^Ergebnis!D47,-(Eingabe!$L$35)*(1+Eingabe!$J$35)^Ergebnis!D47),"")</f>
        <v>0</v>
      </c>
      <c r="G47" s="65">
        <f>IF(A47&lt;=Eingabe!$D$22,G46*(1+Eingabe!$J$37),"")</f>
        <v>0</v>
      </c>
      <c r="H47" s="65">
        <f>IF(A47&lt;=Eingabe!$D$22,(-Eingabe!$L$40*(1+Eingabe!$J$40)^Ergebnis!D47)-(Eingabe!$L$41*(1+Eingabe!$J$41)^Ergebnis!D47)-(Eingabe!$L$42*(1+Eingabe!$J$42)^Ergebnis!D47),"")</f>
        <v>-1306.9863232495895</v>
      </c>
      <c r="I47" s="66">
        <f>IF(A47&lt;=Eingabe!$D$22,Eingabe!$D$46*(1+Eingabe!$J$46)^D47,"")</f>
        <v>0</v>
      </c>
      <c r="J47" s="83">
        <v>0</v>
      </c>
      <c r="K47" s="81">
        <f>IF(D47&lt;=Eingabe!$D$22,IF(D47=Eingabe!$D$30,(Eingabe!$L$29*Eingabe!$I$29)*(1+Eingabe!$J$29)^Ergebnis!D47,IF(D47=Eingabe!$D$31,(Eingabe!$L$30*Eingabe!$I$30)*(1+Eingabe!$J$30)^Ergebnis!D47,IF(D47=Eingabe!$D$32,(Eingabe!$L$31*Eingabe!$I$31)*(1+Eingabe!$J$31)^Ergebnis!D47,IF(D47=Eingabe!$D$33,(Eingabe!$L$32*Eingabe!$I$32)*(1+Eingabe!$J$32)^Ergebnis!D47,0)))),"")</f>
        <v>0</v>
      </c>
      <c r="L47" s="58">
        <f>IF(A47&lt;=Eingabe!$D$22,SUM(E47:K47),"")</f>
        <v>-1306.9863232495895</v>
      </c>
      <c r="M47" s="62">
        <f>IF(A47&lt;=Eingabe!$D$22,L47/(1+Eingabe!$D$23)^D47,"")</f>
        <v>-784.94211667614513</v>
      </c>
      <c r="N47" s="62">
        <f>IF(A47&lt;=Eingabe!$D$22,N46+M47,"")</f>
        <v>-37236.415405236432</v>
      </c>
      <c r="O47" s="78"/>
      <c r="T47" s="91">
        <f t="shared" si="0"/>
        <v>-1306.9863232495895</v>
      </c>
      <c r="U47" s="91">
        <f t="shared" si="4"/>
        <v>5390.8747270251888</v>
      </c>
      <c r="V47" s="91">
        <f t="shared" si="5"/>
        <v>6697.8610502747779</v>
      </c>
      <c r="X47" s="89">
        <v>13</v>
      </c>
      <c r="Y47" s="40">
        <f t="shared" si="1"/>
        <v>-37236.415405236432</v>
      </c>
      <c r="Z47" s="40">
        <f t="shared" si="2"/>
        <v>-14574.487745103545</v>
      </c>
      <c r="AA47" s="40">
        <f t="shared" si="6"/>
        <v>22661.927660132889</v>
      </c>
      <c r="AB47" s="41">
        <f t="shared" si="3"/>
        <v>0</v>
      </c>
      <c r="AE47" s="71">
        <f>IF(Y47&gt;0,IF(SUM(AE34:AE46)=0,X47,0),0)</f>
        <v>0</v>
      </c>
      <c r="AF47" s="71">
        <f>IF(Z47&gt;0,IF(SUM(AF34:AF46)=0,X47,0),0)</f>
        <v>0</v>
      </c>
      <c r="AG47" s="71"/>
      <c r="AH47" s="71"/>
    </row>
    <row r="48" spans="1:34" x14ac:dyDescent="0.25">
      <c r="A48" s="39">
        <v>14</v>
      </c>
      <c r="B48" s="26"/>
      <c r="C48" s="61">
        <f>IF(A48&lt;=Eingabe!$D$22,C47+1,"")</f>
        <v>2032</v>
      </c>
      <c r="D48" s="57">
        <f>IF(A48&lt;=Eingabe!$D$22,D47+1,"")</f>
        <v>14</v>
      </c>
      <c r="E48" s="64">
        <f>IF(A48&lt;=Eingabe!$D$22,IF(D48=Eingabe!$D$30,-Eingabe!$L$30*(1+Eingabe!$J$30)^D48,IF(D48=Eingabe!$D$31,-Eingabe!$L$31*(1+Eingabe!$J$31)^D48,IF(D48=Eingabe!$D$32,-Eingabe!$L$32*(1+Eingabe!$J$32)^D48,0))),"")</f>
        <v>0</v>
      </c>
      <c r="F48" s="63">
        <f>IF(A48&lt;=Eingabe!$D$22,IF(D48=Eingabe!$D$36,-(Eingabe!$L$35+Eingabe!$L$36)*(1+Eingabe!$J$35)^Ergebnis!D48,-(Eingabe!$L$35)*(1+Eingabe!$J$35)^Ergebnis!D48),"")</f>
        <v>0</v>
      </c>
      <c r="G48" s="65">
        <f>IF(A48&lt;=Eingabe!$D$22,G47*(1+Eingabe!$J$37),"")</f>
        <v>0</v>
      </c>
      <c r="H48" s="65">
        <f>IF(A48&lt;=Eingabe!$D$22,(-Eingabe!$L$40*(1+Eingabe!$J$40)^Ergebnis!D48)-(Eingabe!$L$41*(1+Eingabe!$J$41)^Ergebnis!D48)-(Eingabe!$L$42*(1+Eingabe!$J$42)^Ergebnis!D48),"")</f>
        <v>-1320.0561864820856</v>
      </c>
      <c r="I48" s="66">
        <f>IF(A48&lt;=Eingabe!$D$22,Eingabe!$D$46*(1+Eingabe!$J$46)^D48,"")</f>
        <v>0</v>
      </c>
      <c r="J48" s="83">
        <v>0</v>
      </c>
      <c r="K48" s="81">
        <f>IF(D48&lt;=Eingabe!$D$22,IF(D48=Eingabe!$D$30,(Eingabe!$L$29*Eingabe!$I$29)*(1+Eingabe!$J$29)^Ergebnis!D48,IF(D48=Eingabe!$D$31,(Eingabe!$L$30*Eingabe!$I$30)*(1+Eingabe!$J$30)^Ergebnis!D48,IF(D48=Eingabe!$D$32,(Eingabe!$L$31*Eingabe!$I$31)*(1+Eingabe!$J$31)^Ergebnis!D48,IF(D48=Eingabe!$D$33,(Eingabe!$L$32*Eingabe!$I$32)*(1+Eingabe!$J$32)^Ergebnis!D48,0)))),"")</f>
        <v>0</v>
      </c>
      <c r="L48" s="58">
        <f>IF(A48&lt;=Eingabe!$D$22,SUM(E48:K48),"")</f>
        <v>-1320.0561864820856</v>
      </c>
      <c r="M48" s="62">
        <f>IF(A48&lt;=Eingabe!$D$22,L48/(1+Eingabe!$D$23)^D48,"")</f>
        <v>-762.29955561817951</v>
      </c>
      <c r="N48" s="62">
        <f>IF(A48&lt;=Eingabe!$D$22,N47+M48,"")</f>
        <v>-37998.71496085461</v>
      </c>
      <c r="T48" s="91">
        <f t="shared" si="0"/>
        <v>-1320.0561864820856</v>
      </c>
      <c r="U48" s="91">
        <f t="shared" si="4"/>
        <v>5444.783474295441</v>
      </c>
      <c r="V48" s="91">
        <f t="shared" si="5"/>
        <v>6764.8396607775267</v>
      </c>
      <c r="X48" s="89">
        <v>14</v>
      </c>
      <c r="Y48" s="40">
        <f t="shared" si="1"/>
        <v>-37998.71496085461</v>
      </c>
      <c r="Z48" s="40">
        <f t="shared" si="2"/>
        <v>-11430.260957337985</v>
      </c>
      <c r="AA48" s="40">
        <f t="shared" si="6"/>
        <v>26568.454003516625</v>
      </c>
      <c r="AB48" s="41">
        <f t="shared" si="3"/>
        <v>0</v>
      </c>
      <c r="AE48" s="71">
        <f>IF(Y48&gt;0,IF(SUM(AE34:AE47)=0,X48,0),0)</f>
        <v>0</v>
      </c>
      <c r="AF48" s="71">
        <f>IF(Z48&gt;0,IF(SUM(AF34:AF47)=0,X48,0),0)</f>
        <v>0</v>
      </c>
      <c r="AG48" s="71"/>
      <c r="AH48" s="71"/>
    </row>
    <row r="49" spans="1:34" x14ac:dyDescent="0.25">
      <c r="A49" s="39">
        <v>15</v>
      </c>
      <c r="B49" s="26"/>
      <c r="C49" s="61">
        <f>IF(A49&lt;=Eingabe!$D$22,C48+1,"")</f>
        <v>2033</v>
      </c>
      <c r="D49" s="57">
        <f>IF(A49&lt;=Eingabe!$D$22,D48+1,"")</f>
        <v>15</v>
      </c>
      <c r="E49" s="64">
        <f>IF(A49&lt;=Eingabe!$D$22,IF(D49=Eingabe!$D$30,-Eingabe!$L$30*(1+Eingabe!$J$30)^D49,IF(D49=Eingabe!$D$31,-Eingabe!$L$31*(1+Eingabe!$J$31)^D49,IF(D49=Eingabe!$D$32,-Eingabe!$L$32*(1+Eingabe!$J$32)^D49,0))),"")</f>
        <v>0</v>
      </c>
      <c r="F49" s="63">
        <f>IF(A49&lt;=Eingabe!$D$22,IF(D49=Eingabe!$D$36,-(Eingabe!$L$35+Eingabe!$L$36)*(1+Eingabe!$J$35)^Ergebnis!D49,-(Eingabe!$L$35)*(1+Eingabe!$J$35)^Ergebnis!D49),"")</f>
        <v>0</v>
      </c>
      <c r="G49" s="65">
        <f>IF(A49&lt;=Eingabe!$D$22,G48*(1+Eingabe!$J$37),"")</f>
        <v>0</v>
      </c>
      <c r="H49" s="65">
        <f>IF(A49&lt;=Eingabe!$D$22,(-Eingabe!$L$40*(1+Eingabe!$J$40)^Ergebnis!D49)-(Eingabe!$L$41*(1+Eingabe!$J$41)^Ergebnis!D49)-(Eingabe!$L$42*(1+Eingabe!$J$42)^Ergebnis!D49),"")</f>
        <v>-1333.2567483469061</v>
      </c>
      <c r="I49" s="66">
        <f>IF(A49&lt;=Eingabe!$D$22,Eingabe!$D$46*(1+Eingabe!$J$46)^D49,"")</f>
        <v>0</v>
      </c>
      <c r="J49" s="83">
        <v>0</v>
      </c>
      <c r="K49" s="81">
        <f>IF(D49&lt;=Eingabe!$D$22,IF(D49=Eingabe!$D$30,(Eingabe!$L$29*Eingabe!$I$29)*(1+Eingabe!$J$29)^Ergebnis!D49,IF(D49=Eingabe!$D$31,(Eingabe!$L$30*Eingabe!$I$30)*(1+Eingabe!$J$30)^Ergebnis!D49,IF(D49=Eingabe!$D$32,(Eingabe!$L$31*Eingabe!$I$31)*(1+Eingabe!$J$31)^Ergebnis!D49,IF(D49=Eingabe!$D$33,(Eingabe!$L$32*Eingabe!$I$32)*(1+Eingabe!$J$32)^Ergebnis!D49,0)))),"")</f>
        <v>0</v>
      </c>
      <c r="L49" s="58">
        <f>IF(A49&lt;=Eingabe!$D$22,SUM(E49:K49),"")</f>
        <v>-1333.2567483469061</v>
      </c>
      <c r="M49" s="62">
        <f>IF(A49&lt;=Eingabe!$D$22,L49/(1+Eingabe!$D$23)^D49,"")</f>
        <v>-740.31014535996258</v>
      </c>
      <c r="N49" s="62">
        <f>IF(A49&lt;=Eingabe!$D$22,N48+M49,"")</f>
        <v>-38739.025106214569</v>
      </c>
      <c r="T49" s="91">
        <f t="shared" si="0"/>
        <v>-1333.2567483469061</v>
      </c>
      <c r="U49" s="91">
        <f t="shared" si="4"/>
        <v>5499.2313090383941</v>
      </c>
      <c r="V49" s="91">
        <f t="shared" si="5"/>
        <v>6832.4880573853006</v>
      </c>
      <c r="X49" s="89">
        <v>15</v>
      </c>
      <c r="Y49" s="40">
        <f t="shared" si="1"/>
        <v>-38739.025106214569</v>
      </c>
      <c r="Z49" s="40">
        <f t="shared" si="2"/>
        <v>-8376.7330192195095</v>
      </c>
      <c r="AA49" s="40">
        <f t="shared" si="6"/>
        <v>30362.292086995061</v>
      </c>
      <c r="AB49" s="41">
        <f t="shared" si="3"/>
        <v>0</v>
      </c>
      <c r="AE49" s="71">
        <f>IF(Y49&gt;0,IF(SUM(AE34:AE48)=0,X49,0),0)</f>
        <v>0</v>
      </c>
      <c r="AF49" s="71">
        <f>IF(Z49&gt;0,IF(SUM(AF34:AF48)=0,X49,0),0)</f>
        <v>0</v>
      </c>
      <c r="AG49" s="71"/>
      <c r="AH49" s="71"/>
    </row>
    <row r="50" spans="1:34" x14ac:dyDescent="0.25">
      <c r="A50" s="39">
        <v>16</v>
      </c>
      <c r="B50" s="26"/>
      <c r="C50" s="61">
        <f>IF(A50&lt;=Eingabe!$D$22,C49+1,"")</f>
        <v>2034</v>
      </c>
      <c r="D50" s="57">
        <f>IF(A50&lt;=Eingabe!$D$22,D49+1,"")</f>
        <v>16</v>
      </c>
      <c r="E50" s="64">
        <f>IF(A50&lt;=Eingabe!$D$22,IF(D50=Eingabe!$D$30,-Eingabe!$L$30*(1+Eingabe!$J$30)^D50,IF(D50=Eingabe!$D$31,-Eingabe!$L$31*(1+Eingabe!$J$31)^D50,IF(D50=Eingabe!$D$32,-Eingabe!$L$32*(1+Eingabe!$J$32)^D50,0))),"")</f>
        <v>0</v>
      </c>
      <c r="F50" s="63">
        <f>IF(A50&lt;=Eingabe!$D$22,IF(D50=Eingabe!$D$36,-(Eingabe!$L$35+Eingabe!$L$36)*(1+Eingabe!$J$35)^Ergebnis!D50,-(Eingabe!$L$35)*(1+Eingabe!$J$35)^Ergebnis!D50),"")</f>
        <v>0</v>
      </c>
      <c r="G50" s="65">
        <f>IF(A50&lt;=Eingabe!$D$22,G49*(1+Eingabe!$J$37),"")</f>
        <v>0</v>
      </c>
      <c r="H50" s="65">
        <f>IF(A50&lt;=Eingabe!$D$22,(-Eingabe!$L$40*(1+Eingabe!$J$40)^Ergebnis!D50)-(Eingabe!$L$41*(1+Eingabe!$J$41)^Ergebnis!D50)-(Eingabe!$L$42*(1+Eingabe!$J$42)^Ergebnis!D50),"")</f>
        <v>-1346.5893158303754</v>
      </c>
      <c r="I50" s="66">
        <f>IF(A50&lt;=Eingabe!$D$22,Eingabe!$D$46*(1+Eingabe!$J$46)^D50,"")</f>
        <v>0</v>
      </c>
      <c r="J50" s="83">
        <v>0</v>
      </c>
      <c r="K50" s="81">
        <f>IF(D50&lt;=Eingabe!$D$22,IF(D50=Eingabe!$D$30,(Eingabe!$L$29*Eingabe!$I$29)*(1+Eingabe!$J$29)^Ergebnis!D50,IF(D50=Eingabe!$D$31,(Eingabe!$L$30*Eingabe!$I$30)*(1+Eingabe!$J$30)^Ergebnis!D50,IF(D50=Eingabe!$D$32,(Eingabe!$L$31*Eingabe!$I$31)*(1+Eingabe!$J$31)^Ergebnis!D50,IF(D50=Eingabe!$D$33,(Eingabe!$L$32*Eingabe!$I$32)*(1+Eingabe!$J$32)^Ergebnis!D50,0)))),"")</f>
        <v>0</v>
      </c>
      <c r="L50" s="58">
        <f>IF(A50&lt;=Eingabe!$D$22,SUM(E50:K50),"")</f>
        <v>-1346.5893158303754</v>
      </c>
      <c r="M50" s="62">
        <f>IF(A50&lt;=Eingabe!$D$22,L50/(1+Eingabe!$D$23)^D50,"")</f>
        <v>-718.9550450130406</v>
      </c>
      <c r="N50" s="62">
        <f>IF(A50&lt;=Eingabe!$D$22,N49+M50,"")</f>
        <v>-39457.98015122761</v>
      </c>
      <c r="O50" s="25"/>
      <c r="T50" s="91">
        <f t="shared" si="0"/>
        <v>-1346.5893158303754</v>
      </c>
      <c r="U50" s="91">
        <f t="shared" si="4"/>
        <v>5554.2236221287794</v>
      </c>
      <c r="V50" s="91">
        <f t="shared" si="5"/>
        <v>6900.8129379591546</v>
      </c>
      <c r="X50" s="89">
        <v>16</v>
      </c>
      <c r="Y50" s="40">
        <f t="shared" si="1"/>
        <v>-39457.98015122761</v>
      </c>
      <c r="Z50" s="40">
        <f t="shared" si="2"/>
        <v>-5411.2876177775288</v>
      </c>
      <c r="AA50" s="40">
        <f t="shared" si="6"/>
        <v>34046.692533450085</v>
      </c>
      <c r="AB50" s="41">
        <f t="shared" si="3"/>
        <v>0</v>
      </c>
      <c r="AE50" s="71">
        <f>IF(Y50&gt;0,IF(SUM(AE34:AE49)=0,X50,0),0)</f>
        <v>0</v>
      </c>
      <c r="AF50" s="71">
        <f>IF(Z50&gt;0,IF(SUM(AF34:AF49)=0,X50,0),0)</f>
        <v>0</v>
      </c>
      <c r="AG50" s="71"/>
      <c r="AH50" s="71"/>
    </row>
    <row r="51" spans="1:34" ht="14.25" customHeight="1" x14ac:dyDescent="0.25">
      <c r="A51" s="39">
        <v>17</v>
      </c>
      <c r="C51" s="61">
        <f>IF(A51&lt;=Eingabe!$D$22,C50+1,"")</f>
        <v>2035</v>
      </c>
      <c r="D51" s="57">
        <f>IF(A51&lt;=Eingabe!$D$22,D50+1,"")</f>
        <v>17</v>
      </c>
      <c r="E51" s="64">
        <f>IF(A51&lt;=Eingabe!$D$22,IF(D51=Eingabe!$D$30,-Eingabe!$L$30*(1+Eingabe!$J$30)^D51,IF(D51=Eingabe!$D$31,-Eingabe!$L$31*(1+Eingabe!$J$31)^D51,IF(D51=Eingabe!$D$32,-Eingabe!$L$32*(1+Eingabe!$J$32)^D51,0))),"")</f>
        <v>0</v>
      </c>
      <c r="F51" s="63">
        <f>IF(A51&lt;=Eingabe!$D$22,IF(D51=Eingabe!$D$36,-(Eingabe!$L$35+Eingabe!$L$36)*(1+Eingabe!$J$35)^Ergebnis!D51,-(Eingabe!$L$35)*(1+Eingabe!$J$35)^Ergebnis!D51),"")</f>
        <v>0</v>
      </c>
      <c r="G51" s="65">
        <f>IF(A51&lt;=Eingabe!$D$22,G50*(1+Eingabe!$J$37),"")</f>
        <v>0</v>
      </c>
      <c r="H51" s="65">
        <f>IF(A51&lt;=Eingabe!$D$22,(-Eingabe!$L$40*(1+Eingabe!$J$40)^Ergebnis!D51)-(Eingabe!$L$41*(1+Eingabe!$J$41)^Ergebnis!D51)-(Eingabe!$L$42*(1+Eingabe!$J$42)^Ergebnis!D51),"")</f>
        <v>-1360.0552089886794</v>
      </c>
      <c r="I51" s="66">
        <f>IF(A51&lt;=Eingabe!$D$22,Eingabe!$D$46*(1+Eingabe!$J$46)^D51,"")</f>
        <v>0</v>
      </c>
      <c r="J51" s="83">
        <v>0</v>
      </c>
      <c r="K51" s="81">
        <f>IF(D51&lt;=Eingabe!$D$22,IF(D51=Eingabe!$D$30,(Eingabe!$L$29*Eingabe!$I$29)*(1+Eingabe!$J$29)^Ergebnis!D51,IF(D51=Eingabe!$D$31,(Eingabe!$L$30*Eingabe!$I$30)*(1+Eingabe!$J$30)^Ergebnis!D51,IF(D51=Eingabe!$D$32,(Eingabe!$L$31*Eingabe!$I$31)*(1+Eingabe!$J$31)^Ergebnis!D51,IF(D51=Eingabe!$D$33,(Eingabe!$L$32*Eingabe!$I$32)*(1+Eingabe!$J$32)^Ergebnis!D51,0)))),"")</f>
        <v>0</v>
      </c>
      <c r="L51" s="58">
        <f>IF(A51&lt;=Eingabe!$D$22,SUM(E51:K51),"")</f>
        <v>-1360.0552089886794</v>
      </c>
      <c r="M51" s="62">
        <f>IF(A51&lt;=Eingabe!$D$22,L51/(1+Eingabe!$D$23)^D51,"")</f>
        <v>-698.21595717612604</v>
      </c>
      <c r="N51" s="62">
        <f>IF(A51&lt;=Eingabe!$D$22,N50+M51,"")</f>
        <v>-40156.196108403739</v>
      </c>
      <c r="O51" s="25"/>
      <c r="T51" s="91">
        <f t="shared" si="0"/>
        <v>-1360.0552089886794</v>
      </c>
      <c r="U51" s="91">
        <f t="shared" si="4"/>
        <v>5609.7658583500679</v>
      </c>
      <c r="V51" s="91">
        <f t="shared" si="5"/>
        <v>6969.8210673387475</v>
      </c>
      <c r="X51" s="89">
        <v>17</v>
      </c>
      <c r="Y51" s="40">
        <f t="shared" si="1"/>
        <v>-40156.196108403739</v>
      </c>
      <c r="Z51" s="40">
        <f t="shared" si="2"/>
        <v>-2531.3839106079126</v>
      </c>
      <c r="AA51" s="40">
        <f t="shared" si="6"/>
        <v>37624.812197795829</v>
      </c>
      <c r="AB51" s="41">
        <f t="shared" si="3"/>
        <v>0</v>
      </c>
      <c r="AE51" s="71">
        <f>IF(Y51&gt;0,IF(SUM(AE34:AE50)=0,X51,0),0)</f>
        <v>0</v>
      </c>
      <c r="AF51" s="71">
        <f>IF(Z51&gt;0,IF(SUM(AF34:AF50)=0,X51,0),0)</f>
        <v>0</v>
      </c>
      <c r="AG51" s="71"/>
      <c r="AH51" s="71"/>
    </row>
    <row r="52" spans="1:34" ht="14.25" customHeight="1" x14ac:dyDescent="0.25">
      <c r="A52" s="39">
        <v>18</v>
      </c>
      <c r="C52" s="61">
        <f>IF(A52&lt;=Eingabe!$D$22,C51+1,"")</f>
        <v>2036</v>
      </c>
      <c r="D52" s="57">
        <f>IF(A52&lt;=Eingabe!$D$22,D51+1,"")</f>
        <v>18</v>
      </c>
      <c r="E52" s="64">
        <f>IF(A52&lt;=Eingabe!$D$22,IF(D52=Eingabe!$D$30,-Eingabe!$L$30*(1+Eingabe!$J$30)^D52,IF(D52=Eingabe!$D$31,-Eingabe!$L$31*(1+Eingabe!$J$31)^D52,IF(D52=Eingabe!$D$32,-Eingabe!$L$32*(1+Eingabe!$J$32)^D52,0))),"")</f>
        <v>0</v>
      </c>
      <c r="F52" s="63">
        <f>IF(A52&lt;=Eingabe!$D$22,IF(D52=Eingabe!$D$36,-(Eingabe!$L$35+Eingabe!$L$36)*(1+Eingabe!$J$35)^Ergebnis!D52,-(Eingabe!$L$35)*(1+Eingabe!$J$35)^Ergebnis!D52),"")</f>
        <v>0</v>
      </c>
      <c r="G52" s="65">
        <f>IF(A52&lt;=Eingabe!$D$22,G51*(1+Eingabe!$J$37),"")</f>
        <v>0</v>
      </c>
      <c r="H52" s="65">
        <f>IF(A52&lt;=Eingabe!$D$22,(-Eingabe!$L$40*(1+Eingabe!$J$40)^Ergebnis!D52)-(Eingabe!$L$41*(1+Eingabe!$J$41)^Ergebnis!D52)-(Eingabe!$L$42*(1+Eingabe!$J$42)^Ergebnis!D52),"")</f>
        <v>-1373.6557610785662</v>
      </c>
      <c r="I52" s="66">
        <f>IF(A52&lt;=Eingabe!$D$22,Eingabe!$D$46*(1+Eingabe!$J$46)^D52,"")</f>
        <v>0</v>
      </c>
      <c r="J52" s="83">
        <v>0</v>
      </c>
      <c r="K52" s="81">
        <f>IF(D52&lt;=Eingabe!$D$22,IF(D52=Eingabe!$D$30,(Eingabe!$L$29*Eingabe!$I$29)*(1+Eingabe!$J$29)^Ergebnis!D52,IF(D52=Eingabe!$D$31,(Eingabe!$L$30*Eingabe!$I$30)*(1+Eingabe!$J$30)^Ergebnis!D52,IF(D52=Eingabe!$D$32,(Eingabe!$L$31*Eingabe!$I$31)*(1+Eingabe!$J$31)^Ergebnis!D52,IF(D52=Eingabe!$D$33,(Eingabe!$L$32*Eingabe!$I$32)*(1+Eingabe!$J$32)^Ergebnis!D52,0)))),"")</f>
        <v>0</v>
      </c>
      <c r="L52" s="58">
        <f>IF(A52&lt;=Eingabe!$D$22,SUM(E52:K52),"")</f>
        <v>-1373.6557610785662</v>
      </c>
      <c r="M52" s="62">
        <f>IF(A52&lt;=Eingabe!$D$22,L52/(1+Eingabe!$D$23)^D52,"")</f>
        <v>-678.0751122575839</v>
      </c>
      <c r="N52" s="62">
        <f>IF(A52&lt;=Eingabe!$D$22,N51+M52,"")</f>
        <v>-40834.271220661321</v>
      </c>
      <c r="O52" s="25"/>
      <c r="T52" s="91">
        <f t="shared" si="0"/>
        <v>-1373.6557610785662</v>
      </c>
      <c r="U52" s="91">
        <f t="shared" si="4"/>
        <v>5665.8635169335685</v>
      </c>
      <c r="V52" s="91">
        <f t="shared" si="5"/>
        <v>7039.5192780121342</v>
      </c>
      <c r="X52" s="89">
        <v>18</v>
      </c>
      <c r="Y52" s="40">
        <f t="shared" si="1"/>
        <v>-40834.271220661321</v>
      </c>
      <c r="Z52" s="40">
        <f t="shared" si="2"/>
        <v>265.44565116257991</v>
      </c>
      <c r="AA52" s="40">
        <f t="shared" si="6"/>
        <v>41099.716871823905</v>
      </c>
      <c r="AB52" s="41">
        <f t="shared" si="3"/>
        <v>0</v>
      </c>
      <c r="AE52" s="71">
        <f>IF(Y52&gt;0,IF(SUM(AE34:AE51)=0,X52,0),0)</f>
        <v>0</v>
      </c>
      <c r="AF52" s="71">
        <f>IF(Z52&gt;0,IF(SUM(AF34:AF51)=0,X52,0),0)</f>
        <v>18</v>
      </c>
      <c r="AG52" s="71"/>
      <c r="AH52" s="71"/>
    </row>
    <row r="53" spans="1:34" ht="14.25" customHeight="1" x14ac:dyDescent="0.25">
      <c r="A53" s="39">
        <v>19</v>
      </c>
      <c r="C53" s="61">
        <f>IF(A53&lt;=Eingabe!$D$22,C52+1,"")</f>
        <v>2037</v>
      </c>
      <c r="D53" s="57">
        <f>IF(A53&lt;=Eingabe!$D$22,D52+1,"")</f>
        <v>19</v>
      </c>
      <c r="E53" s="64">
        <f>IF(A53&lt;=Eingabe!$D$22,IF(D53=Eingabe!$D$30,-Eingabe!$L$30*(1+Eingabe!$J$30)^D53,IF(D53=Eingabe!$D$31,-Eingabe!$L$31*(1+Eingabe!$J$31)^D53,IF(D53=Eingabe!$D$32,-Eingabe!$L$32*(1+Eingabe!$J$32)^D53,0))),"")</f>
        <v>0</v>
      </c>
      <c r="F53" s="63">
        <f>IF(A53&lt;=Eingabe!$D$22,IF(D53=Eingabe!$D$36,-(Eingabe!$L$35+Eingabe!$L$36)*(1+Eingabe!$J$35)^Ergebnis!D53,-(Eingabe!$L$35)*(1+Eingabe!$J$35)^Ergebnis!D53),"")</f>
        <v>0</v>
      </c>
      <c r="G53" s="65">
        <f>IF(A53&lt;=Eingabe!$D$22,G52*(1+Eingabe!$J$37),"")</f>
        <v>0</v>
      </c>
      <c r="H53" s="65">
        <f>IF(A53&lt;=Eingabe!$D$22,(-Eingabe!$L$40*(1+Eingabe!$J$40)^Ergebnis!D53)-(Eingabe!$L$41*(1+Eingabe!$J$41)^Ergebnis!D53)-(Eingabe!$L$42*(1+Eingabe!$J$42)^Ergebnis!D53),"")</f>
        <v>-1387.3923186893514</v>
      </c>
      <c r="I53" s="66">
        <f>IF(A53&lt;=Eingabe!$D$22,Eingabe!$D$46*(1+Eingabe!$J$46)^D53,"")</f>
        <v>0</v>
      </c>
      <c r="J53" s="83">
        <v>0</v>
      </c>
      <c r="K53" s="81">
        <f>IF(D53&lt;=Eingabe!$D$22,IF(D53=Eingabe!$D$30,(Eingabe!$L$29*Eingabe!$I$29)*(1+Eingabe!$J$29)^Ergebnis!D53,IF(D53=Eingabe!$D$31,(Eingabe!$L$30*Eingabe!$I$30)*(1+Eingabe!$J$30)^Ergebnis!D53,IF(D53=Eingabe!$D$32,(Eingabe!$L$31*Eingabe!$I$31)*(1+Eingabe!$J$31)^Ergebnis!D53,IF(D53=Eingabe!$D$33,(Eingabe!$L$32*Eingabe!$I$32)*(1+Eingabe!$J$32)^Ergebnis!D53,0)))),"")</f>
        <v>0</v>
      </c>
      <c r="L53" s="58">
        <f>IF(A53&lt;=Eingabe!$D$22,SUM(E53:K53),"")</f>
        <v>-1387.3923186893514</v>
      </c>
      <c r="M53" s="62">
        <f>IF(A53&lt;=Eingabe!$D$22,L53/(1+Eingabe!$D$23)^D53,"")</f>
        <v>-658.51525325015336</v>
      </c>
      <c r="N53" s="62">
        <f>IF(A53&lt;=Eingabe!$D$22,N52+M53,"")</f>
        <v>-41492.786473911474</v>
      </c>
      <c r="O53" s="25"/>
      <c r="T53" s="91">
        <f t="shared" si="0"/>
        <v>-1387.3923186893514</v>
      </c>
      <c r="U53" s="91">
        <f t="shared" si="4"/>
        <v>5722.5221521029025</v>
      </c>
      <c r="V53" s="91">
        <f t="shared" si="5"/>
        <v>7109.9144707922542</v>
      </c>
      <c r="X53" s="89">
        <v>19</v>
      </c>
      <c r="Y53" s="40">
        <f t="shared" si="1"/>
        <v>-41492.786473911474</v>
      </c>
      <c r="Z53" s="40">
        <f t="shared" si="2"/>
        <v>2981.5974371127691</v>
      </c>
      <c r="AA53" s="40">
        <f t="shared" si="6"/>
        <v>44474.383911024241</v>
      </c>
      <c r="AB53" s="41">
        <f t="shared" si="3"/>
        <v>0</v>
      </c>
      <c r="AE53" s="71">
        <f>IF(Y53&gt;0,IF(SUM(AE34:AE52)=0,X53,0),0)</f>
        <v>0</v>
      </c>
      <c r="AF53" s="71">
        <f>IF(Z53&gt;0,IF(SUM(AF34:AF52)=0,X53,0),0)</f>
        <v>0</v>
      </c>
      <c r="AG53" s="71"/>
      <c r="AH53" s="71"/>
    </row>
    <row r="54" spans="1:34" ht="14.25" customHeight="1" x14ac:dyDescent="0.25">
      <c r="A54" s="39">
        <v>20</v>
      </c>
      <c r="C54" s="61">
        <f>IF(A54&lt;=Eingabe!$D$22,C53+1,"")</f>
        <v>2038</v>
      </c>
      <c r="D54" s="57">
        <f>IF(A54&lt;=Eingabe!$D$22,D53+1,"")</f>
        <v>20</v>
      </c>
      <c r="E54" s="64">
        <f>IF(A54&lt;=Eingabe!$D$22,IF(D54=Eingabe!$D$30,-Eingabe!$L$30*(1+Eingabe!$J$30)^D54,IF(D54=Eingabe!$D$31,-Eingabe!$L$31*(1+Eingabe!$J$31)^D54,IF(D54=Eingabe!$D$32,-Eingabe!$L$32*(1+Eingabe!$J$32)^D54,0))),"")</f>
        <v>-37148.684899458858</v>
      </c>
      <c r="F54" s="63">
        <f>IF(A54&lt;=Eingabe!$D$22,IF(D54=Eingabe!$D$36,-(Eingabe!$L$35+Eingabe!$L$36)*(1+Eingabe!$J$35)^Ergebnis!D54,-(Eingabe!$L$35)*(1+Eingabe!$J$35)^Ergebnis!D54),"")</f>
        <v>-18574.342449729429</v>
      </c>
      <c r="G54" s="65">
        <f>IF(A54&lt;=Eingabe!$D$22,G53*(1+Eingabe!$J$37),"")</f>
        <v>0</v>
      </c>
      <c r="H54" s="65">
        <f>IF(A54&lt;=Eingabe!$D$22,(-Eingabe!$L$40*(1+Eingabe!$J$40)^Ergebnis!D54)-(Eingabe!$L$41*(1+Eingabe!$J$41)^Ergebnis!D54)-(Eingabe!$L$42*(1+Eingabe!$J$42)^Ergebnis!D54),"")</f>
        <v>-1401.2662418762452</v>
      </c>
      <c r="I54" s="66">
        <f>IF(A54&lt;=Eingabe!$D$22,Eingabe!$D$46*(1+Eingabe!$J$46)^D54,"")</f>
        <v>0</v>
      </c>
      <c r="J54" s="83">
        <v>0</v>
      </c>
      <c r="K54" s="81">
        <f>IF(D54&lt;=Eingabe!$D$22,IF(D54=Eingabe!$D$30,(Eingabe!$L$29*Eingabe!$I$29)*(1+Eingabe!$J$29)^Ergebnis!D54,IF(D54=Eingabe!$D$31,(Eingabe!$L$30*Eingabe!$I$30)*(1+Eingabe!$J$30)^Ergebnis!D54,IF(D54=Eingabe!$D$32,(Eingabe!$L$31*Eingabe!$I$31)*(1+Eingabe!$J$31)^Ergebnis!D54,IF(D54=Eingabe!$D$33,(Eingabe!$L$32*Eingabe!$I$32)*(1+Eingabe!$J$32)^Ergebnis!D54,0)))),"")</f>
        <v>371.48684899458857</v>
      </c>
      <c r="L54" s="58">
        <f>IF(A54&lt;=Eingabe!$D$22,SUM(E54:K54),"")</f>
        <v>-56752.806742069944</v>
      </c>
      <c r="M54" s="62">
        <f>IF(A54&lt;=Eingabe!$D$22,L54/(1+Eingabe!$D$23)^D54,"")</f>
        <v>-25901.240157365402</v>
      </c>
      <c r="N54" s="62">
        <f>IF(A54&lt;=Eingabe!$D$22,N53+M54,"")</f>
        <v>-67394.02663127688</v>
      </c>
      <c r="O54" s="25"/>
      <c r="T54" s="91">
        <f t="shared" si="0"/>
        <v>-56752.806742069944</v>
      </c>
      <c r="U54" s="91">
        <f t="shared" si="4"/>
        <v>-108192.41789791583</v>
      </c>
      <c r="V54" s="91">
        <f t="shared" si="5"/>
        <v>-51439.611155845887</v>
      </c>
      <c r="X54" s="89">
        <v>20</v>
      </c>
      <c r="Y54" s="40">
        <f t="shared" si="1"/>
        <v>-67394.02663127688</v>
      </c>
      <c r="Z54" s="40">
        <f t="shared" si="2"/>
        <v>-46396.009769451055</v>
      </c>
      <c r="AA54" s="40">
        <f t="shared" si="6"/>
        <v>20998.016861825825</v>
      </c>
      <c r="AB54" s="41">
        <f t="shared" si="3"/>
        <v>0</v>
      </c>
      <c r="AE54" s="71">
        <f>IF(Y54&gt;0,IF(SUM(AE34:AE53)=0,X54,0),0)</f>
        <v>0</v>
      </c>
      <c r="AF54" s="71">
        <f>IF(Z54&gt;0,IF(SUM(AF34:AF53)=0,X54,0),0)</f>
        <v>0</v>
      </c>
      <c r="AG54" s="71"/>
      <c r="AH54" s="71"/>
    </row>
    <row r="55" spans="1:34" ht="14.25" customHeight="1" x14ac:dyDescent="0.25">
      <c r="A55" s="39">
        <v>21</v>
      </c>
      <c r="C55" s="61">
        <f>IF(A55&lt;=Eingabe!$D$22,C54+1,"")</f>
        <v>2039</v>
      </c>
      <c r="D55" s="57">
        <f>IF(A55&lt;=Eingabe!$D$22,D54+1,"")</f>
        <v>21</v>
      </c>
      <c r="E55" s="64">
        <f>IF(A55&lt;=Eingabe!$D$22,IF(D55=Eingabe!$D$30,-Eingabe!$L$30*(1+Eingabe!$J$30)^D55,IF(D55=Eingabe!$D$31,-Eingabe!$L$31*(1+Eingabe!$J$31)^D55,IF(D55=Eingabe!$D$32,-Eingabe!$L$32*(1+Eingabe!$J$32)^D55,0))),"")</f>
        <v>0</v>
      </c>
      <c r="F55" s="63">
        <f>IF(A55&lt;=Eingabe!$D$22,IF(D55=Eingabe!$D$36,-(Eingabe!$L$35+Eingabe!$L$36)*(1+Eingabe!$J$35)^Ergebnis!D55,-(Eingabe!$L$35)*(1+Eingabe!$J$35)^Ergebnis!D55),"")</f>
        <v>0</v>
      </c>
      <c r="G55" s="65">
        <f>IF(A55&lt;=Eingabe!$D$22,G54*(1+Eingabe!$J$37),"")</f>
        <v>0</v>
      </c>
      <c r="H55" s="65">
        <f>IF(A55&lt;=Eingabe!$D$22,(-Eingabe!$L$40*(1+Eingabe!$J$40)^Ergebnis!D55)-(Eingabe!$L$41*(1+Eingabe!$J$41)^Ergebnis!D55)-(Eingabe!$L$42*(1+Eingabe!$J$42)^Ergebnis!D55),"")</f>
        <v>-1415.2789042950076</v>
      </c>
      <c r="I55" s="66">
        <f>IF(A55&lt;=Eingabe!$D$22,Eingabe!$D$46*(1+Eingabe!$J$46)^D55,"")</f>
        <v>0</v>
      </c>
      <c r="J55" s="83">
        <v>0</v>
      </c>
      <c r="K55" s="81">
        <f>IF(D55&lt;=Eingabe!$D$22,IF(D55=Eingabe!$D$30,(Eingabe!$L$29*Eingabe!$I$29)*(1+Eingabe!$J$29)^Ergebnis!D55,IF(D55=Eingabe!$D$31,(Eingabe!$L$30*Eingabe!$I$30)*(1+Eingabe!$J$30)^Ergebnis!D55,IF(D55=Eingabe!$D$32,(Eingabe!$L$31*Eingabe!$I$31)*(1+Eingabe!$J$31)^Ergebnis!D55,IF(D55=Eingabe!$D$33,(Eingabe!$L$32*Eingabe!$I$32)*(1+Eingabe!$J$32)^Ergebnis!D55,0)))),"")</f>
        <v>0</v>
      </c>
      <c r="L55" s="58">
        <f>IF(A55&lt;=Eingabe!$D$22,SUM(E55:K55),"")</f>
        <v>-1415.2789042950076</v>
      </c>
      <c r="M55" s="62">
        <f>IF(A55&lt;=Eingabe!$D$22,L55/(1+Eingabe!$D$23)^D55,"")</f>
        <v>-621.07193957145103</v>
      </c>
      <c r="N55" s="62">
        <f>IF(A55&lt;=Eingabe!$D$22,N54+M55,"")</f>
        <v>-68015.098570848335</v>
      </c>
      <c r="O55" s="25"/>
      <c r="T55" s="91">
        <f t="shared" si="0"/>
        <v>-1415.2789042950076</v>
      </c>
      <c r="U55" s="91">
        <f t="shared" si="4"/>
        <v>5837.5448473601718</v>
      </c>
      <c r="V55" s="91">
        <f t="shared" si="5"/>
        <v>7252.8237516551799</v>
      </c>
      <c r="X55" s="89">
        <v>21</v>
      </c>
      <c r="Y55" s="40">
        <f t="shared" si="1"/>
        <v>-68015.098570848335</v>
      </c>
      <c r="Z55" s="40">
        <f t="shared" si="2"/>
        <v>-43834.298936566636</v>
      </c>
      <c r="AA55" s="40">
        <f t="shared" si="6"/>
        <v>24180.799634281699</v>
      </c>
      <c r="AB55" s="41">
        <f t="shared" si="3"/>
        <v>0</v>
      </c>
      <c r="AE55" s="71">
        <f>IF(Y55&gt;0,IF(SUM(AE34:AE54)=0,X55,0),0)</f>
        <v>0</v>
      </c>
      <c r="AF55" s="71">
        <f>IF(Z55&gt;0,IF(SUM(AF34:AF54)=0,X55,0),0)</f>
        <v>0</v>
      </c>
      <c r="AG55" s="71"/>
      <c r="AH55" s="71"/>
    </row>
    <row r="56" spans="1:34" ht="14.25" customHeight="1" x14ac:dyDescent="0.25">
      <c r="A56" s="39">
        <v>22</v>
      </c>
      <c r="C56" s="61">
        <f>IF(A56&lt;=Eingabe!$D$22,C55+1,"")</f>
        <v>2040</v>
      </c>
      <c r="D56" s="57">
        <f>IF(A56&lt;=Eingabe!$D$22,D55+1,"")</f>
        <v>22</v>
      </c>
      <c r="E56" s="64">
        <f>IF(A56&lt;=Eingabe!$D$22,IF(D56=Eingabe!$D$30,-Eingabe!$L$30*(1+Eingabe!$J$30)^D56,IF(D56=Eingabe!$D$31,-Eingabe!$L$31*(1+Eingabe!$J$31)^D56,IF(D56=Eingabe!$D$32,-Eingabe!$L$32*(1+Eingabe!$J$32)^D56,0))),"")</f>
        <v>0</v>
      </c>
      <c r="F56" s="63">
        <f>IF(A56&lt;=Eingabe!$D$22,IF(D56=Eingabe!$D$36,-(Eingabe!$L$35+Eingabe!$L$36)*(1+Eingabe!$J$35)^Ergebnis!D56,-(Eingabe!$L$35)*(1+Eingabe!$J$35)^Ergebnis!D56),"")</f>
        <v>0</v>
      </c>
      <c r="G56" s="65">
        <f>IF(A56&lt;=Eingabe!$D$22,G55*(1+Eingabe!$J$37),"")</f>
        <v>0</v>
      </c>
      <c r="H56" s="65">
        <f>IF(A56&lt;=Eingabe!$D$22,(-Eingabe!$L$40*(1+Eingabe!$J$40)^Ergebnis!D56)-(Eingabe!$L$41*(1+Eingabe!$J$41)^Ergebnis!D56)-(Eingabe!$L$42*(1+Eingabe!$J$42)^Ergebnis!D56),"")</f>
        <v>-1429.431693337958</v>
      </c>
      <c r="I56" s="66">
        <f>IF(A56&lt;=Eingabe!$D$22,Eingabe!$D$46*(1+Eingabe!$J$46)^D56,"")</f>
        <v>0</v>
      </c>
      <c r="J56" s="83">
        <v>0</v>
      </c>
      <c r="K56" s="81">
        <f>IF(D56&lt;=Eingabe!$D$22,IF(D56=Eingabe!$D$30,(Eingabe!$L$29*Eingabe!$I$29)*(1+Eingabe!$J$29)^Ergebnis!D56,IF(D56=Eingabe!$D$31,(Eingabe!$L$30*Eingabe!$I$30)*(1+Eingabe!$J$30)^Ergebnis!D56,IF(D56=Eingabe!$D$32,(Eingabe!$L$31*Eingabe!$I$31)*(1+Eingabe!$J$31)^Ergebnis!D56,IF(D56=Eingabe!$D$33,(Eingabe!$L$32*Eingabe!$I$32)*(1+Eingabe!$J$32)^Ergebnis!D56,0)))),"")</f>
        <v>0</v>
      </c>
      <c r="L56" s="58">
        <f>IF(A56&lt;=Eingabe!$D$22,SUM(E56:K56),"")</f>
        <v>-1429.431693337958</v>
      </c>
      <c r="M56" s="62">
        <f>IF(A56&lt;=Eingabe!$D$22,L56/(1+Eingabe!$D$23)^D56,"")</f>
        <v>-603.15640285304391</v>
      </c>
      <c r="N56" s="62">
        <f>IF(A56&lt;=Eingabe!$D$22,N55+M56,"")</f>
        <v>-68618.254973701376</v>
      </c>
      <c r="O56" s="25"/>
      <c r="T56" s="91">
        <f t="shared" si="0"/>
        <v>-1429.431693337958</v>
      </c>
      <c r="U56" s="91">
        <f t="shared" si="4"/>
        <v>5895.9202958337737</v>
      </c>
      <c r="V56" s="91">
        <f t="shared" si="5"/>
        <v>7325.3519891717315</v>
      </c>
      <c r="X56" s="89">
        <v>22</v>
      </c>
      <c r="Y56" s="40">
        <f t="shared" si="1"/>
        <v>-68618.254973701376</v>
      </c>
      <c r="Z56" s="40">
        <f t="shared" si="2"/>
        <v>-41346.483608476963</v>
      </c>
      <c r="AA56" s="40">
        <f t="shared" si="6"/>
        <v>27271.771365224413</v>
      </c>
      <c r="AB56" s="41">
        <f t="shared" si="3"/>
        <v>0</v>
      </c>
      <c r="AE56" s="71">
        <f>IF(Y56&gt;0,IF(SUM(AE34:AE55)=0,X56,0),0)</f>
        <v>0</v>
      </c>
      <c r="AF56" s="71">
        <f>IF(Z56&gt;0,IF(SUM(AF34:AF55)=0,X56,0),0)</f>
        <v>0</v>
      </c>
      <c r="AG56" s="71"/>
      <c r="AH56" s="71"/>
    </row>
    <row r="57" spans="1:34" ht="14.25" customHeight="1" x14ac:dyDescent="0.25">
      <c r="A57" s="39">
        <v>23</v>
      </c>
      <c r="C57" s="61">
        <f>IF(A57&lt;=Eingabe!$D$22,C56+1,"")</f>
        <v>2041</v>
      </c>
      <c r="D57" s="57">
        <f>IF(A57&lt;=Eingabe!$D$22,D56+1,"")</f>
        <v>23</v>
      </c>
      <c r="E57" s="64">
        <f>IF(A57&lt;=Eingabe!$D$22,IF(D57=Eingabe!$D$30,-Eingabe!$L$30*(1+Eingabe!$J$30)^D57,IF(D57=Eingabe!$D$31,-Eingabe!$L$31*(1+Eingabe!$J$31)^D57,IF(D57=Eingabe!$D$32,-Eingabe!$L$32*(1+Eingabe!$J$32)^D57,0))),"")</f>
        <v>0</v>
      </c>
      <c r="F57" s="63">
        <f>IF(A57&lt;=Eingabe!$D$22,IF(D57=Eingabe!$D$36,-(Eingabe!$L$35+Eingabe!$L$36)*(1+Eingabe!$J$35)^Ergebnis!D57,-(Eingabe!$L$35)*(1+Eingabe!$J$35)^Ergebnis!D57),"")</f>
        <v>0</v>
      </c>
      <c r="G57" s="65">
        <f>IF(A57&lt;=Eingabe!$D$22,G56*(1+Eingabe!$J$37),"")</f>
        <v>0</v>
      </c>
      <c r="H57" s="65">
        <f>IF(A57&lt;=Eingabe!$D$22,(-Eingabe!$L$40*(1+Eingabe!$J$40)^Ergebnis!D57)-(Eingabe!$L$41*(1+Eingabe!$J$41)^Ergebnis!D57)-(Eingabe!$L$42*(1+Eingabe!$J$42)^Ergebnis!D57),"")</f>
        <v>-1443.7260102713371</v>
      </c>
      <c r="I57" s="66">
        <f>IF(A57&lt;=Eingabe!$D$22,Eingabe!$D$46*(1+Eingabe!$J$46)^D57,"")</f>
        <v>0</v>
      </c>
      <c r="J57" s="83">
        <v>0</v>
      </c>
      <c r="K57" s="81">
        <f>IF(D57&lt;=Eingabe!$D$22,IF(D57=Eingabe!$D$30,(Eingabe!$L$29*Eingabe!$I$29)*(1+Eingabe!$J$29)^Ergebnis!D57,IF(D57=Eingabe!$D$31,(Eingabe!$L$30*Eingabe!$I$30)*(1+Eingabe!$J$30)^Ergebnis!D57,IF(D57=Eingabe!$D$32,(Eingabe!$L$31*Eingabe!$I$31)*(1+Eingabe!$J$31)^Ergebnis!D57,IF(D57=Eingabe!$D$33,(Eingabe!$L$32*Eingabe!$I$32)*(1+Eingabe!$J$32)^Ergebnis!D57,0)))),"")</f>
        <v>0</v>
      </c>
      <c r="L57" s="58">
        <f>IF(A57&lt;=Eingabe!$D$22,SUM(E57:K57),"")</f>
        <v>-1443.7260102713371</v>
      </c>
      <c r="M57" s="62">
        <f>IF(A57&lt;=Eingabe!$D$22,L57/(1+Eingabe!$D$23)^D57,"")</f>
        <v>-585.75766046305216</v>
      </c>
      <c r="N57" s="62">
        <f>IF(A57&lt;=Eingabe!$D$22,N56+M57,"")</f>
        <v>-69204.012634164421</v>
      </c>
      <c r="O57" s="25"/>
      <c r="Q57" s="45"/>
      <c r="T57" s="91">
        <f t="shared" si="0"/>
        <v>-1443.7260102713371</v>
      </c>
      <c r="U57" s="91">
        <f t="shared" si="4"/>
        <v>5954.879498792111</v>
      </c>
      <c r="V57" s="91">
        <f t="shared" si="5"/>
        <v>7398.6055090634482</v>
      </c>
      <c r="X57" s="89">
        <v>23</v>
      </c>
      <c r="Y57" s="40">
        <f t="shared" si="1"/>
        <v>-69204.012634164421</v>
      </c>
      <c r="Z57" s="40">
        <f t="shared" si="2"/>
        <v>-38930.432184082179</v>
      </c>
      <c r="AA57" s="40">
        <f t="shared" si="6"/>
        <v>30273.580450082241</v>
      </c>
      <c r="AB57" s="41">
        <f t="shared" si="3"/>
        <v>0</v>
      </c>
      <c r="AE57" s="71">
        <f>IF(Y57&gt;0,IF(SUM(AE34:AE56)=0,X57,0),0)</f>
        <v>0</v>
      </c>
      <c r="AF57" s="71">
        <f>IF(Z57&gt;0,IF(SUM(AF34:AF56)=0,X57,0),0)</f>
        <v>0</v>
      </c>
      <c r="AG57" s="71"/>
      <c r="AH57" s="71"/>
    </row>
    <row r="58" spans="1:34" ht="14.25" customHeight="1" x14ac:dyDescent="0.25">
      <c r="A58" s="39">
        <v>24</v>
      </c>
      <c r="C58" s="61">
        <f>IF(A58&lt;=Eingabe!$D$22,C57+1,"")</f>
        <v>2042</v>
      </c>
      <c r="D58" s="57">
        <f>IF(A58&lt;=Eingabe!$D$22,D57+1,"")</f>
        <v>24</v>
      </c>
      <c r="E58" s="64">
        <f>IF(A58&lt;=Eingabe!$D$22,IF(D58=Eingabe!$D$30,-Eingabe!$L$30*(1+Eingabe!$J$30)^D58,IF(D58=Eingabe!$D$31,-Eingabe!$L$31*(1+Eingabe!$J$31)^D58,IF(D58=Eingabe!$D$32,-Eingabe!$L$32*(1+Eingabe!$J$32)^D58,0))),"")</f>
        <v>0</v>
      </c>
      <c r="F58" s="63">
        <f>IF(A58&lt;=Eingabe!$D$22,IF(D58=Eingabe!$D$36,-(Eingabe!$L$35+Eingabe!$L$36)*(1+Eingabe!$J$35)^Ergebnis!D58,-(Eingabe!$L$35)*(1+Eingabe!$J$35)^Ergebnis!D58),"")</f>
        <v>0</v>
      </c>
      <c r="G58" s="65">
        <f>IF(A58&lt;=Eingabe!$D$22,G57*(1+Eingabe!$J$37),"")</f>
        <v>0</v>
      </c>
      <c r="H58" s="65">
        <f>IF(A58&lt;=Eingabe!$D$22,(-Eingabe!$L$40*(1+Eingabe!$J$40)^Ergebnis!D58)-(Eingabe!$L$41*(1+Eingabe!$J$41)^Ergebnis!D58)-(Eingabe!$L$42*(1+Eingabe!$J$42)^Ergebnis!D58),"")</f>
        <v>-1458.1632703740511</v>
      </c>
      <c r="I58" s="66">
        <f>IF(A58&lt;=Eingabe!$D$22,Eingabe!$D$46*(1+Eingabe!$J$46)^D58,"")</f>
        <v>0</v>
      </c>
      <c r="J58" s="83">
        <v>0</v>
      </c>
      <c r="K58" s="81">
        <f>IF(D58&lt;=Eingabe!$D$22,IF(D58=Eingabe!$D$30,(Eingabe!$L$29*Eingabe!$I$29)*(1+Eingabe!$J$29)^Ergebnis!D58,IF(D58=Eingabe!$D$31,(Eingabe!$L$30*Eingabe!$I$30)*(1+Eingabe!$J$30)^Ergebnis!D58,IF(D58=Eingabe!$D$32,(Eingabe!$L$31*Eingabe!$I$31)*(1+Eingabe!$J$31)^Ergebnis!D58,IF(D58=Eingabe!$D$33,(Eingabe!$L$32*Eingabe!$I$32)*(1+Eingabe!$J$32)^Ergebnis!D58,0)))),"")</f>
        <v>0</v>
      </c>
      <c r="L58" s="58">
        <f>IF(A58&lt;=Eingabe!$D$22,SUM(E58:K58),"")</f>
        <v>-1458.1632703740511</v>
      </c>
      <c r="M58" s="62">
        <f>IF(A58&lt;=Eingabe!$D$22,L58/(1+Eingabe!$D$23)^D58,"")</f>
        <v>-568.86080487277195</v>
      </c>
      <c r="N58" s="62">
        <f>IF(A58&lt;=Eingabe!$D$22,N57+M58,"")</f>
        <v>-69772.873439037197</v>
      </c>
      <c r="O58" s="25"/>
      <c r="Q58" s="45"/>
      <c r="T58" s="91">
        <f t="shared" si="0"/>
        <v>-1458.1632703740511</v>
      </c>
      <c r="U58" s="91">
        <f t="shared" si="4"/>
        <v>6014.4282937800344</v>
      </c>
      <c r="V58" s="91">
        <f t="shared" si="5"/>
        <v>7472.5915641540851</v>
      </c>
      <c r="X58" s="89">
        <v>24</v>
      </c>
      <c r="Y58" s="40">
        <f t="shared" si="1"/>
        <v>-69772.873439037197</v>
      </c>
      <c r="Z58" s="40">
        <f t="shared" si="2"/>
        <v>-36584.074550775709</v>
      </c>
      <c r="AA58" s="40">
        <f t="shared" si="6"/>
        <v>33188.798888261488</v>
      </c>
      <c r="AB58" s="41">
        <f t="shared" si="3"/>
        <v>0</v>
      </c>
      <c r="AE58" s="71">
        <f>IF(Y58&gt;0,IF(SUM(AE34:AE57)=0,X58,0),0)</f>
        <v>0</v>
      </c>
      <c r="AF58" s="71">
        <f>IF(Z58&gt;0,IF(SUM(AF34:AF57)=0,X58,0),0)</f>
        <v>0</v>
      </c>
      <c r="AG58" s="71"/>
      <c r="AH58" s="71"/>
    </row>
    <row r="59" spans="1:34" ht="14.25" customHeight="1" x14ac:dyDescent="0.25">
      <c r="A59" s="39">
        <v>25</v>
      </c>
      <c r="C59" s="61">
        <f>IF(A59&lt;=Eingabe!$D$22,C58+1,"")</f>
        <v>2043</v>
      </c>
      <c r="D59" s="57">
        <f>IF(A59&lt;=Eingabe!$D$22,D58+1,"")</f>
        <v>25</v>
      </c>
      <c r="E59" s="64">
        <f>IF(A59&lt;=Eingabe!$D$22,IF(D59=Eingabe!$D$30,-Eingabe!$L$30*(1+Eingabe!$J$30)^D59,IF(D59=Eingabe!$D$31,-Eingabe!$L$31*(1+Eingabe!$J$31)^D59,IF(D59=Eingabe!$D$32,-Eingabe!$L$32*(1+Eingabe!$J$32)^D59,0))),"")</f>
        <v>0</v>
      </c>
      <c r="F59" s="63">
        <f>IF(A59&lt;=Eingabe!$D$22,IF(D59=Eingabe!$D$36,-(Eingabe!$L$35+Eingabe!$L$36)*(1+Eingabe!$J$35)^Ergebnis!D59,-(Eingabe!$L$35)*(1+Eingabe!$J$35)^Ergebnis!D59),"")</f>
        <v>0</v>
      </c>
      <c r="G59" s="65">
        <f>IF(A59&lt;=Eingabe!$D$22,G58*(1+Eingabe!$J$37),"")</f>
        <v>0</v>
      </c>
      <c r="H59" s="65">
        <f>IF(A59&lt;=Eingabe!$D$22,(-Eingabe!$L$40*(1+Eingabe!$J$40)^Ergebnis!D59)-(Eingabe!$L$41*(1+Eingabe!$J$41)^Ergebnis!D59)-(Eingabe!$L$42*(1+Eingabe!$J$42)^Ergebnis!D59),"")</f>
        <v>-1472.7449030777916</v>
      </c>
      <c r="I59" s="66">
        <f>IF(A59&lt;=Eingabe!$D$22,Eingabe!$D$46*(1+Eingabe!$J$46)^D59,"")</f>
        <v>0</v>
      </c>
      <c r="J59" s="83">
        <v>0</v>
      </c>
      <c r="K59" s="81">
        <f>IF(D59&lt;=Eingabe!$D$22,IF(D59=Eingabe!$D$30,(Eingabe!$L$29*Eingabe!$I$29)*(1+Eingabe!$J$29)^Ergebnis!D59,IF(D59=Eingabe!$D$31,(Eingabe!$L$30*Eingabe!$I$30)*(1+Eingabe!$J$30)^Ergebnis!D59,IF(D59=Eingabe!$D$32,(Eingabe!$L$31*Eingabe!$I$31)*(1+Eingabe!$J$31)^Ergebnis!D59,IF(D59=Eingabe!$D$33,(Eingabe!$L$32*Eingabe!$I$32)*(1+Eingabe!$J$32)^Ergebnis!D59,0)))),"")</f>
        <v>0</v>
      </c>
      <c r="L59" s="58">
        <f>IF(A59&lt;=Eingabe!$D$22,SUM(E59:K59),"")</f>
        <v>-1472.7449030777916</v>
      </c>
      <c r="M59" s="62">
        <f>IF(A59&lt;=Eingabe!$D$22,L59/(1+Eingabe!$D$23)^D59,"")</f>
        <v>-552.45135857836499</v>
      </c>
      <c r="N59" s="62">
        <f>IF(A59&lt;=Eingabe!$D$22,N58+M59,"")</f>
        <v>-70325.324797615569</v>
      </c>
      <c r="O59" s="25"/>
      <c r="T59" s="91">
        <f t="shared" si="0"/>
        <v>-1472.7449030777916</v>
      </c>
      <c r="U59" s="91">
        <f t="shared" si="4"/>
        <v>6074.5725767178346</v>
      </c>
      <c r="V59" s="91">
        <f t="shared" si="5"/>
        <v>7547.3174797956262</v>
      </c>
      <c r="X59" s="89">
        <v>25</v>
      </c>
      <c r="Y59" s="40">
        <f t="shared" si="1"/>
        <v>-70325.324797615569</v>
      </c>
      <c r="Z59" s="40">
        <f t="shared" si="2"/>
        <v>-34305.400310737692</v>
      </c>
      <c r="AA59" s="40">
        <f t="shared" si="6"/>
        <v>36019.924486877877</v>
      </c>
      <c r="AB59" s="41">
        <f t="shared" si="3"/>
        <v>0</v>
      </c>
      <c r="AE59" s="71">
        <f>IF(Y59&gt;0,IF(SUM(AE34:AE58)=0,X59,0),0)</f>
        <v>0</v>
      </c>
      <c r="AF59" s="71">
        <f>IF(Z59&gt;0,IF(SUM(AF34:AF58)=0,X59,0),0)</f>
        <v>0</v>
      </c>
      <c r="AG59" s="71"/>
      <c r="AH59" s="71"/>
    </row>
    <row r="60" spans="1:34" ht="14.25" customHeight="1" x14ac:dyDescent="0.25">
      <c r="A60" s="39">
        <v>26</v>
      </c>
      <c r="C60" s="61">
        <f>IF(A60&lt;=Eingabe!$D$22,C59+1,"")</f>
        <v>2044</v>
      </c>
      <c r="D60" s="57">
        <f>IF(A60&lt;=Eingabe!$D$22,D59+1,"")</f>
        <v>26</v>
      </c>
      <c r="E60" s="64">
        <f>IF(A60&lt;=Eingabe!$D$22,IF(D60=Eingabe!$D$30,-Eingabe!$L$30*(1+Eingabe!$J$30)^D60,IF(D60=Eingabe!$D$31,-Eingabe!$L$31*(1+Eingabe!$J$31)^D60,IF(D60=Eingabe!$D$32,-Eingabe!$L$32*(1+Eingabe!$J$32)^D60,0))),"")</f>
        <v>0</v>
      </c>
      <c r="F60" s="63">
        <f>IF(A60&lt;=Eingabe!$D$22,IF(D60=Eingabe!$D$36,-(Eingabe!$L$35+Eingabe!$L$36)*(1+Eingabe!$J$35)^Ergebnis!D60,-(Eingabe!$L$35)*(1+Eingabe!$J$35)^Ergebnis!D60),"")</f>
        <v>0</v>
      </c>
      <c r="G60" s="65">
        <f>IF(A60&lt;=Eingabe!$D$22,G59*(1+Eingabe!$J$37),"")</f>
        <v>0</v>
      </c>
      <c r="H60" s="65">
        <f>IF(A60&lt;=Eingabe!$D$22,(-Eingabe!$L$40*(1+Eingabe!$J$40)^Ergebnis!D60)-(Eingabe!$L$41*(1+Eingabe!$J$41)^Ergebnis!D60)-(Eingabe!$L$42*(1+Eingabe!$J$42)^Ergebnis!D60),"")</f>
        <v>-1487.4723521085696</v>
      </c>
      <c r="I60" s="66">
        <f>IF(A60&lt;=Eingabe!$D$22,Eingabe!$D$46*(1+Eingabe!$J$46)^D60,"")</f>
        <v>0</v>
      </c>
      <c r="J60" s="83">
        <v>0</v>
      </c>
      <c r="K60" s="81">
        <f>IF(D60&lt;=Eingabe!$D$22,IF(D60=Eingabe!$D$30,(Eingabe!$L$29*Eingabe!$I$29)*(1+Eingabe!$J$29)^Ergebnis!D60,IF(D60=Eingabe!$D$31,(Eingabe!$L$30*Eingabe!$I$30)*(1+Eingabe!$J$30)^Ergebnis!D60,IF(D60=Eingabe!$D$32,(Eingabe!$L$31*Eingabe!$I$31)*(1+Eingabe!$J$31)^Ergebnis!D60,IF(D60=Eingabe!$D$33,(Eingabe!$L$32*Eingabe!$I$32)*(1+Eingabe!$J$32)^Ergebnis!D60,0)))),"")</f>
        <v>0</v>
      </c>
      <c r="L60" s="58">
        <f>IF(A60&lt;=Eingabe!$D$22,SUM(E60:K60),"")</f>
        <v>-1487.4723521085696</v>
      </c>
      <c r="M60" s="62">
        <f>IF(A60&lt;=Eingabe!$D$22,L60/(1+Eingabe!$D$23)^D60,"")</f>
        <v>-536.51526169629688</v>
      </c>
      <c r="N60" s="62">
        <f>IF(A60&lt;=Eingabe!$D$22,N59+M60,"")</f>
        <v>-70861.840059311871</v>
      </c>
      <c r="O60" s="25"/>
      <c r="T60" s="91">
        <f t="shared" si="0"/>
        <v>-1487.4723521085696</v>
      </c>
      <c r="U60" s="91">
        <f t="shared" si="4"/>
        <v>6135.3183024850123</v>
      </c>
      <c r="V60" s="91">
        <f t="shared" si="5"/>
        <v>7622.7906545935821</v>
      </c>
      <c r="X60" s="89">
        <v>26</v>
      </c>
      <c r="Y60" s="40">
        <f t="shared" si="1"/>
        <v>-70861.840059311871</v>
      </c>
      <c r="Z60" s="40">
        <f t="shared" si="2"/>
        <v>-32092.45705839308</v>
      </c>
      <c r="AA60" s="40">
        <f t="shared" si="6"/>
        <v>38769.383000918795</v>
      </c>
      <c r="AB60" s="41">
        <f t="shared" si="3"/>
        <v>0</v>
      </c>
      <c r="AE60" s="71">
        <f>IF(Y60&gt;0,IF(SUM(AE34:AE59)=0,X60,0),0)</f>
        <v>0</v>
      </c>
      <c r="AF60" s="71">
        <f>IF(Z60&gt;0,IF(SUM(AF34:AF59)=0,X60,0),0)</f>
        <v>0</v>
      </c>
      <c r="AG60" s="71"/>
      <c r="AH60" s="71"/>
    </row>
    <row r="61" spans="1:34" ht="14.25" customHeight="1" x14ac:dyDescent="0.25">
      <c r="A61" s="39">
        <v>27</v>
      </c>
      <c r="C61" s="61">
        <f>IF(A61&lt;=Eingabe!$D$22,C60+1,"")</f>
        <v>2045</v>
      </c>
      <c r="D61" s="57">
        <f>IF(A61&lt;=Eingabe!$D$22,D60+1,"")</f>
        <v>27</v>
      </c>
      <c r="E61" s="64">
        <f>IF(A61&lt;=Eingabe!$D$22,IF(D61=Eingabe!$D$30,-Eingabe!$L$30*(1+Eingabe!$J$30)^D61,IF(D61=Eingabe!$D$31,-Eingabe!$L$31*(1+Eingabe!$J$31)^D61,IF(D61=Eingabe!$D$32,-Eingabe!$L$32*(1+Eingabe!$J$32)^D61,0))),"")</f>
        <v>0</v>
      </c>
      <c r="F61" s="63">
        <f>IF(A61&lt;=Eingabe!$D$22,IF(D61=Eingabe!$D$36,-(Eingabe!$L$35+Eingabe!$L$36)*(1+Eingabe!$J$35)^Ergebnis!D61,-(Eingabe!$L$35)*(1+Eingabe!$J$35)^Ergebnis!D61),"")</f>
        <v>0</v>
      </c>
      <c r="G61" s="65">
        <f>IF(A61&lt;=Eingabe!$D$22,G60*(1+Eingabe!$J$37),"")</f>
        <v>0</v>
      </c>
      <c r="H61" s="65">
        <f>IF(A61&lt;=Eingabe!$D$22,(-Eingabe!$L$40*(1+Eingabe!$J$40)^Ergebnis!D61)-(Eingabe!$L$41*(1+Eingabe!$J$41)^Ergebnis!D61)-(Eingabe!$L$42*(1+Eingabe!$J$42)^Ergebnis!D61),"")</f>
        <v>-1502.3470756296547</v>
      </c>
      <c r="I61" s="66">
        <f>IF(A61&lt;=Eingabe!$D$22,Eingabe!$D$46*(1+Eingabe!$J$46)^D61,"")</f>
        <v>0</v>
      </c>
      <c r="J61" s="83">
        <v>0</v>
      </c>
      <c r="K61" s="81">
        <f>IF(D61&lt;=Eingabe!$D$22,IF(D61=Eingabe!$D$30,(Eingabe!$L$29*Eingabe!$I$29)*(1+Eingabe!$J$29)^Ergebnis!D61,IF(D61=Eingabe!$D$31,(Eingabe!$L$30*Eingabe!$I$30)*(1+Eingabe!$J$30)^Ergebnis!D61,IF(D61=Eingabe!$D$32,(Eingabe!$L$31*Eingabe!$I$31)*(1+Eingabe!$J$31)^Ergebnis!D61,IF(D61=Eingabe!$D$33,(Eingabe!$L$32*Eingabe!$I$32)*(1+Eingabe!$J$32)^Ergebnis!D61,0)))),"")</f>
        <v>0</v>
      </c>
      <c r="L61" s="58">
        <f>IF(A61&lt;=Eingabe!$D$22,SUM(E61:K61),"")</f>
        <v>-1502.3470756296547</v>
      </c>
      <c r="M61" s="62">
        <f>IF(A61&lt;=Eingabe!$D$22,L61/(1+Eingabe!$D$23)^D61,"")</f>
        <v>-521.03885991659581</v>
      </c>
      <c r="N61" s="62">
        <f>IF(A61&lt;=Eingabe!$D$22,N60+M61,"")</f>
        <v>-71382.87891922846</v>
      </c>
      <c r="O61" s="25"/>
      <c r="T61" s="91">
        <f t="shared" si="0"/>
        <v>-1502.3470756296547</v>
      </c>
      <c r="U61" s="91">
        <f t="shared" si="4"/>
        <v>6196.6714855098608</v>
      </c>
      <c r="V61" s="91">
        <f t="shared" si="5"/>
        <v>7699.0185611395154</v>
      </c>
      <c r="X61" s="89">
        <v>27</v>
      </c>
      <c r="Y61" s="40">
        <f t="shared" si="1"/>
        <v>-71382.87891922846</v>
      </c>
      <c r="Z61" s="40">
        <f t="shared" si="2"/>
        <v>-29943.348707558409</v>
      </c>
      <c r="AA61" s="40">
        <f t="shared" si="6"/>
        <v>41439.530211670048</v>
      </c>
      <c r="AB61" s="41">
        <f t="shared" si="3"/>
        <v>0</v>
      </c>
      <c r="AE61" s="71">
        <f>IF(Y61&gt;0,IF(SUM(AE34:AE60)=0,X61,0),0)</f>
        <v>0</v>
      </c>
      <c r="AF61" s="71">
        <f>IF(Z61&gt;0,IF(SUM(AF34:AF60)=0,X61,0),0)</f>
        <v>0</v>
      </c>
      <c r="AG61" s="71"/>
      <c r="AH61" s="71"/>
    </row>
    <row r="62" spans="1:34" ht="14.25" customHeight="1" x14ac:dyDescent="0.25">
      <c r="A62" s="39">
        <v>28</v>
      </c>
      <c r="C62" s="61">
        <f>IF(A62&lt;=Eingabe!$D$22,C61+1,"")</f>
        <v>2046</v>
      </c>
      <c r="D62" s="57">
        <f>IF(A62&lt;=Eingabe!$D$22,D61+1,"")</f>
        <v>28</v>
      </c>
      <c r="E62" s="64">
        <f>IF(A62&lt;=Eingabe!$D$22,IF(D62=Eingabe!$D$30,-Eingabe!$L$30*(1+Eingabe!$J$30)^D62,IF(D62=Eingabe!$D$31,-Eingabe!$L$31*(1+Eingabe!$J$31)^D62,IF(D62=Eingabe!$D$32,-Eingabe!$L$32*(1+Eingabe!$J$32)^D62,0))),"")</f>
        <v>0</v>
      </c>
      <c r="F62" s="63">
        <f>IF(A62&lt;=Eingabe!$D$22,IF(D62=Eingabe!$D$36,-(Eingabe!$L$35+Eingabe!$L$36)*(1+Eingabe!$J$35)^Ergebnis!D62,-(Eingabe!$L$35)*(1+Eingabe!$J$35)^Ergebnis!D62),"")</f>
        <v>0</v>
      </c>
      <c r="G62" s="65">
        <f>IF(A62&lt;=Eingabe!$D$22,G61*(1+Eingabe!$J$37),"")</f>
        <v>0</v>
      </c>
      <c r="H62" s="65">
        <f>IF(A62&lt;=Eingabe!$D$22,(-Eingabe!$L$40*(1+Eingabe!$J$40)^Ergebnis!D62)-(Eingabe!$L$41*(1+Eingabe!$J$41)^Ergebnis!D62)-(Eingabe!$L$42*(1+Eingabe!$J$42)^Ergebnis!D62),"")</f>
        <v>-1517.3705463859515</v>
      </c>
      <c r="I62" s="66">
        <f>IF(A62&lt;=Eingabe!$D$22,Eingabe!$D$46*(1+Eingabe!$J$46)^D62,"")</f>
        <v>0</v>
      </c>
      <c r="J62" s="83">
        <v>0</v>
      </c>
      <c r="K62" s="81">
        <f>IF(D62&lt;=Eingabe!$D$22,IF(D62=Eingabe!$D$30,(Eingabe!$L$29*Eingabe!$I$29)*(1+Eingabe!$J$29)^Ergebnis!D62,IF(D62=Eingabe!$D$31,(Eingabe!$L$30*Eingabe!$I$30)*(1+Eingabe!$J$30)^Ergebnis!D62,IF(D62=Eingabe!$D$32,(Eingabe!$L$31*Eingabe!$I$31)*(1+Eingabe!$J$31)^Ergebnis!D62,IF(D62=Eingabe!$D$33,(Eingabe!$L$32*Eingabe!$I$32)*(1+Eingabe!$J$32)^Ergebnis!D62,0)))),"")</f>
        <v>0</v>
      </c>
      <c r="L62" s="58">
        <f>IF(A62&lt;=Eingabe!$D$22,SUM(E62:K62),"")</f>
        <v>-1517.3705463859515</v>
      </c>
      <c r="M62" s="62">
        <f>IF(A62&lt;=Eingabe!$D$22,L62/(1+Eingabe!$D$23)^D62,"")</f>
        <v>-506.00889280361702</v>
      </c>
      <c r="N62" s="62">
        <f>IF(A62&lt;=Eingabe!$D$22,N61+M62,"")</f>
        <v>-71888.887812032073</v>
      </c>
      <c r="O62" s="25"/>
      <c r="T62" s="91">
        <f t="shared" si="0"/>
        <v>-1517.3705463859515</v>
      </c>
      <c r="U62" s="91">
        <f t="shared" si="4"/>
        <v>6258.6382003649596</v>
      </c>
      <c r="V62" s="91">
        <f t="shared" si="5"/>
        <v>7776.0087467509111</v>
      </c>
      <c r="X62" s="89">
        <v>28</v>
      </c>
      <c r="Y62" s="40">
        <f t="shared" si="1"/>
        <v>-71888.887812032073</v>
      </c>
      <c r="Z62" s="40">
        <f t="shared" si="2"/>
        <v>-27856.23386684397</v>
      </c>
      <c r="AA62" s="40">
        <f t="shared" si="6"/>
        <v>44032.653945188104</v>
      </c>
      <c r="AB62" s="41">
        <f t="shared" si="3"/>
        <v>0</v>
      </c>
      <c r="AE62" s="71">
        <f>IF(Y62&gt;0,IF(SUM(AE34:AE61)=0,X62,0),0)</f>
        <v>0</v>
      </c>
      <c r="AF62" s="71">
        <f>IF(Z62&gt;0,IF(SUM(AF34:AF61)=0,X62,0),0)</f>
        <v>0</v>
      </c>
      <c r="AG62" s="71"/>
      <c r="AH62" s="71"/>
    </row>
    <row r="63" spans="1:34" ht="14.25" customHeight="1" x14ac:dyDescent="0.25">
      <c r="A63" s="39">
        <v>29</v>
      </c>
      <c r="C63" s="61">
        <f>IF(A63&lt;=Eingabe!$D$22,C62+1,"")</f>
        <v>2047</v>
      </c>
      <c r="D63" s="57">
        <f>IF(A63&lt;=Eingabe!$D$22,D62+1,"")</f>
        <v>29</v>
      </c>
      <c r="E63" s="64">
        <f>IF(A63&lt;=Eingabe!$D$22,IF(D63=Eingabe!$D$30,-Eingabe!$L$30*(1+Eingabe!$J$30)^D63,IF(D63=Eingabe!$D$31,-Eingabe!$L$31*(1+Eingabe!$J$31)^D63,IF(D63=Eingabe!$D$32,-Eingabe!$L$32*(1+Eingabe!$J$32)^D63,0))),"")</f>
        <v>0</v>
      </c>
      <c r="F63" s="63">
        <f>IF(A63&lt;=Eingabe!$D$22,IF(D63=Eingabe!$D$36,-(Eingabe!$L$35+Eingabe!$L$36)*(1+Eingabe!$J$35)^Ergebnis!D63,-(Eingabe!$L$35)*(1+Eingabe!$J$35)^Ergebnis!D63),"")</f>
        <v>0</v>
      </c>
      <c r="G63" s="65">
        <f>IF(A63&lt;=Eingabe!$D$22,G62*(1+Eingabe!$J$37),"")</f>
        <v>0</v>
      </c>
      <c r="H63" s="65">
        <f>IF(A63&lt;=Eingabe!$D$22,(-Eingabe!$L$40*(1+Eingabe!$J$40)^Ergebnis!D63)-(Eingabe!$L$41*(1+Eingabe!$J$41)^Ergebnis!D63)-(Eingabe!$L$42*(1+Eingabe!$J$42)^Ergebnis!D63),"")</f>
        <v>-1532.544251849811</v>
      </c>
      <c r="I63" s="66">
        <f>IF(A63&lt;=Eingabe!$D$22,Eingabe!$D$46*(1+Eingabe!$J$46)^D63,"")</f>
        <v>0</v>
      </c>
      <c r="J63" s="83">
        <v>0</v>
      </c>
      <c r="K63" s="81">
        <f>IF(D63&lt;=Eingabe!$D$22,IF(D63=Eingabe!$D$30,(Eingabe!$L$29*Eingabe!$I$29)*(1+Eingabe!$J$29)^Ergebnis!D63,IF(D63=Eingabe!$D$31,(Eingabe!$L$30*Eingabe!$I$30)*(1+Eingabe!$J$30)^Ergebnis!D63,IF(D63=Eingabe!$D$32,(Eingabe!$L$31*Eingabe!$I$31)*(1+Eingabe!$J$31)^Ergebnis!D63,IF(D63=Eingabe!$D$33,(Eingabe!$L$32*Eingabe!$I$32)*(1+Eingabe!$J$32)^Ergebnis!D63,0)))),"")</f>
        <v>0</v>
      </c>
      <c r="L63" s="58">
        <f>IF(A63&lt;=Eingabe!$D$22,SUM(E63:K63),"")</f>
        <v>-1532.544251849811</v>
      </c>
      <c r="M63" s="62">
        <f>IF(A63&lt;=Eingabe!$D$22,L63/(1+Eingabe!$D$23)^D63,"")</f>
        <v>-491.41248243428186</v>
      </c>
      <c r="N63" s="62">
        <f>IF(A63&lt;=Eingabe!$D$22,N62+M63,"")</f>
        <v>-72380.30029446636</v>
      </c>
      <c r="O63" s="25"/>
      <c r="T63" s="91">
        <f t="shared" si="0"/>
        <v>-1532.544251849811</v>
      </c>
      <c r="U63" s="91">
        <f t="shared" si="4"/>
        <v>6321.2245823686098</v>
      </c>
      <c r="V63" s="91">
        <f t="shared" si="5"/>
        <v>7853.768834218421</v>
      </c>
      <c r="X63" s="89">
        <v>29</v>
      </c>
      <c r="Y63" s="40">
        <f t="shared" si="1"/>
        <v>-72380.30029446636</v>
      </c>
      <c r="Z63" s="40">
        <f t="shared" si="2"/>
        <v>-25829.32426191937</v>
      </c>
      <c r="AA63" s="40">
        <f t="shared" si="6"/>
        <v>46550.976032546991</v>
      </c>
      <c r="AB63" s="41">
        <f t="shared" si="3"/>
        <v>0</v>
      </c>
      <c r="AE63" s="71">
        <f>IF(Y63&gt;0,IF(SUM(AE34:AE62)=0,X63,0),0)</f>
        <v>0</v>
      </c>
      <c r="AF63" s="71">
        <f>IF(Z63&gt;0,IF(SUM(AF34:AF62)=0,X63,0),0)</f>
        <v>0</v>
      </c>
      <c r="AG63" s="71"/>
      <c r="AH63" s="71"/>
    </row>
    <row r="64" spans="1:34" ht="14.25" customHeight="1" x14ac:dyDescent="0.25">
      <c r="A64" s="39">
        <v>30</v>
      </c>
      <c r="C64" s="61">
        <f>IF(A64&lt;=Eingabe!$D$22,C63+1,"")</f>
        <v>2048</v>
      </c>
      <c r="D64" s="57">
        <f>IF(A64&lt;=Eingabe!$D$22,D63+1,"")</f>
        <v>30</v>
      </c>
      <c r="E64" s="64">
        <f>IF(A64&lt;=Eingabe!$D$22,IF(D64=Eingabe!$D$30,-Eingabe!$L$30*(1+Eingabe!$J$30)^D64,IF(D64=Eingabe!$D$31,-Eingabe!$L$31*(1+Eingabe!$J$31)^D64,IF(D64=Eingabe!$D$32,-Eingabe!$L$32*(1+Eingabe!$J$32)^D64,0))),"")</f>
        <v>0</v>
      </c>
      <c r="F64" s="63">
        <f>IF(A64&lt;=Eingabe!$D$22,IF(D64=Eingabe!$D$36,-(Eingabe!$L$35+Eingabe!$L$36)*(1+Eingabe!$J$35)^Ergebnis!D64,-(Eingabe!$L$35)*(1+Eingabe!$J$35)^Ergebnis!D64),"")</f>
        <v>0</v>
      </c>
      <c r="G64" s="65">
        <f>IF(A64&lt;=Eingabe!$D$22,G63*(1+Eingabe!$J$37),"")</f>
        <v>0</v>
      </c>
      <c r="H64" s="65">
        <f>IF(A64&lt;=Eingabe!$D$22,(-Eingabe!$L$40*(1+Eingabe!$J$40)^Ergebnis!D64)-(Eingabe!$L$41*(1+Eingabe!$J$41)^Ergebnis!D64)-(Eingabe!$L$42*(1+Eingabe!$J$42)^Ergebnis!D64),"")</f>
        <v>-1547.8696943683094</v>
      </c>
      <c r="I64" s="66">
        <f>IF(A64&lt;=Eingabe!$D$22,Eingabe!$D$46*(1+Eingabe!$J$46)^D64,"")</f>
        <v>0</v>
      </c>
      <c r="J64" s="83">
        <v>0</v>
      </c>
      <c r="K64" s="81">
        <f>IF(D64&lt;=Eingabe!$D$22,IF(D64=Eingabe!$D$30,(Eingabe!$L$29*Eingabe!$I$29)*(1+Eingabe!$J$29)^Ergebnis!D64,IF(D64=Eingabe!$D$31,(Eingabe!$L$30*Eingabe!$I$30)*(1+Eingabe!$J$30)^Ergebnis!D64,IF(D64=Eingabe!$D$32,(Eingabe!$L$31*Eingabe!$I$31)*(1+Eingabe!$J$31)^Ergebnis!D64,IF(D64=Eingabe!$D$33,(Eingabe!$L$32*Eingabe!$I$32)*(1+Eingabe!$J$32)^Ergebnis!D64,0)))),"")</f>
        <v>0</v>
      </c>
      <c r="L64" s="58">
        <f>IF(A64&lt;=Eingabe!$D$22,SUM(E64:K64),"")</f>
        <v>-1547.8696943683094</v>
      </c>
      <c r="M64" s="62">
        <f>IF(A64&lt;=Eingabe!$D$22,L64/(1+Eingabe!$D$23)^D64,"")</f>
        <v>-477.23712236406237</v>
      </c>
      <c r="N64" s="62">
        <f>IF(A64&lt;=Eingabe!$D$22,N63+M64,"")</f>
        <v>-72857.537416830426</v>
      </c>
      <c r="O64" s="25"/>
      <c r="T64" s="91">
        <f t="shared" si="0"/>
        <v>-1547.8696943683094</v>
      </c>
      <c r="U64" s="91">
        <f t="shared" si="4"/>
        <v>6384.4368281922971</v>
      </c>
      <c r="V64" s="91">
        <f t="shared" si="5"/>
        <v>7932.306522560606</v>
      </c>
      <c r="X64" s="89">
        <v>30</v>
      </c>
      <c r="Y64" s="40">
        <f t="shared" si="1"/>
        <v>-72857.537416830426</v>
      </c>
      <c r="Z64" s="40">
        <f t="shared" si="2"/>
        <v>-23860.883203290672</v>
      </c>
      <c r="AA64" s="40">
        <f t="shared" si="6"/>
        <v>48996.654213539754</v>
      </c>
      <c r="AB64" s="41">
        <f t="shared" si="3"/>
        <v>0</v>
      </c>
      <c r="AE64" s="71">
        <f>IF(Y64&gt;0,IF(SUM(AE34:AE63)=0,X64,0),0)</f>
        <v>0</v>
      </c>
      <c r="AF64" s="71">
        <f>IF(Z64&gt;0,IF(SUM(AF34:AF63)=0,X64,0),0)</f>
        <v>0</v>
      </c>
      <c r="AG64" s="71"/>
      <c r="AH64" s="71"/>
    </row>
    <row r="65" spans="1:34" ht="14.25" customHeight="1" x14ac:dyDescent="0.25">
      <c r="A65" s="39">
        <v>31</v>
      </c>
      <c r="C65" s="61">
        <f>IF(A65&lt;=Eingabe!$D$22,C64+1,"")</f>
        <v>2049</v>
      </c>
      <c r="D65" s="57">
        <f>IF(A65&lt;=Eingabe!$D$22,D64+1,"")</f>
        <v>31</v>
      </c>
      <c r="E65" s="64">
        <f>IF(A65&lt;=Eingabe!$D$22,IF(D65=Eingabe!$D$30,-Eingabe!$L$30*(1+Eingabe!$J$30)^D65,IF(D65=Eingabe!$D$31,-Eingabe!$L$31*(1+Eingabe!$J$31)^D65,IF(D65=Eingabe!$D$32,-Eingabe!$L$32*(1+Eingabe!$J$32)^D65,0))),"")</f>
        <v>0</v>
      </c>
      <c r="F65" s="63">
        <f>IF(A65&lt;=Eingabe!$D$22,IF(D65=Eingabe!$D$36,-(Eingabe!$L$35+Eingabe!$L$36)*(1+Eingabe!$J$35)^Ergebnis!D65,-(Eingabe!$L$35)*(1+Eingabe!$J$35)^Ergebnis!D65),"")</f>
        <v>0</v>
      </c>
      <c r="G65" s="65">
        <f>IF(A65&lt;=Eingabe!$D$22,G64*(1+Eingabe!$J$37),"")</f>
        <v>0</v>
      </c>
      <c r="H65" s="65">
        <f>IF(A65&lt;=Eingabe!$D$22,(-Eingabe!$L$40*(1+Eingabe!$J$40)^Ergebnis!D65)-(Eingabe!$L$41*(1+Eingabe!$J$41)^Ergebnis!D65)-(Eingabe!$L$42*(1+Eingabe!$J$42)^Ergebnis!D65),"")</f>
        <v>-1563.3483913119919</v>
      </c>
      <c r="I65" s="66">
        <f>IF(A65&lt;=Eingabe!$D$22,Eingabe!$D$46*(1+Eingabe!$J$46)^D65,"")</f>
        <v>0</v>
      </c>
      <c r="J65" s="83">
        <v>0</v>
      </c>
      <c r="K65" s="81">
        <f>IF(D65&lt;=Eingabe!$D$22,IF(D65=Eingabe!$D$30,(Eingabe!$L$29*Eingabe!$I$29)*(1+Eingabe!$J$29)^Ergebnis!D65,IF(D65=Eingabe!$D$31,(Eingabe!$L$30*Eingabe!$I$30)*(1+Eingabe!$J$30)^Ergebnis!D65,IF(D65=Eingabe!$D$32,(Eingabe!$L$31*Eingabe!$I$31)*(1+Eingabe!$J$31)^Ergebnis!D65,IF(D65=Eingabe!$D$33,(Eingabe!$L$32*Eingabe!$I$32)*(1+Eingabe!$J$32)^Ergebnis!D65,0)))),"")</f>
        <v>0</v>
      </c>
      <c r="L65" s="58">
        <f>IF(A65&lt;=Eingabe!$D$22,SUM(E65:K65),"")</f>
        <v>-1563.3483913119919</v>
      </c>
      <c r="M65" s="62">
        <f>IF(A65&lt;=Eingabe!$D$22,L65/(1+Eingabe!$D$23)^D65,"")</f>
        <v>-463.47066691125269</v>
      </c>
      <c r="N65" s="62">
        <f>IF(A65&lt;=Eingabe!$D$22,N64+M65,"")</f>
        <v>-73321.008083741675</v>
      </c>
      <c r="O65" s="25"/>
      <c r="T65" s="91">
        <f t="shared" si="0"/>
        <v>-1563.3483913119919</v>
      </c>
      <c r="U65" s="91">
        <f t="shared" si="4"/>
        <v>6448.2811964742177</v>
      </c>
      <c r="V65" s="91">
        <f t="shared" si="5"/>
        <v>8011.6295877862094</v>
      </c>
      <c r="X65" s="89">
        <v>31</v>
      </c>
      <c r="Y65" s="40">
        <f t="shared" si="1"/>
        <v>-73321.008083741675</v>
      </c>
      <c r="Z65" s="40">
        <f t="shared" si="2"/>
        <v>-21949.224098276263</v>
      </c>
      <c r="AA65" s="40">
        <f t="shared" si="6"/>
        <v>51371.783985465416</v>
      </c>
      <c r="AB65" s="41">
        <f t="shared" si="3"/>
        <v>0</v>
      </c>
      <c r="AE65" s="71">
        <f>IF(Y65&gt;0,IF(SUM(AE34:AE64)=0,X65,0),0)</f>
        <v>0</v>
      </c>
      <c r="AF65" s="71">
        <f>IF(Z65&gt;0,IF(SUM(AF34:AF64)=0,X65,0),0)</f>
        <v>0</v>
      </c>
      <c r="AG65" s="71"/>
      <c r="AH65" s="71"/>
    </row>
    <row r="66" spans="1:34" ht="14.25" customHeight="1" x14ac:dyDescent="0.25">
      <c r="A66" s="39">
        <v>32</v>
      </c>
      <c r="C66" s="61">
        <f>IF(A66&lt;=Eingabe!$D$22,C65+1,"")</f>
        <v>2050</v>
      </c>
      <c r="D66" s="57">
        <f>IF(A66&lt;=Eingabe!$D$22,D65+1,"")</f>
        <v>32</v>
      </c>
      <c r="E66" s="64">
        <f>IF(A66&lt;=Eingabe!$D$22,IF(D66=Eingabe!$D$30,-Eingabe!$L$30*(1+Eingabe!$J$30)^D66,IF(D66=Eingabe!$D$31,-Eingabe!$L$31*(1+Eingabe!$J$31)^D66,IF(D66=Eingabe!$D$32,-Eingabe!$L$32*(1+Eingabe!$J$32)^D66,0))),"")</f>
        <v>0</v>
      </c>
      <c r="F66" s="63">
        <f>IF(A66&lt;=Eingabe!$D$22,IF(D66=Eingabe!$D$36,-(Eingabe!$L$35+Eingabe!$L$36)*(1+Eingabe!$J$35)^Ergebnis!D66,-(Eingabe!$L$35)*(1+Eingabe!$J$35)^Ergebnis!D66),"")</f>
        <v>0</v>
      </c>
      <c r="G66" s="65">
        <f>IF(A66&lt;=Eingabe!$D$22,G65*(1+Eingabe!$J$37),"")</f>
        <v>0</v>
      </c>
      <c r="H66" s="65">
        <f>IF(A66&lt;=Eingabe!$D$22,(-Eingabe!$L$40*(1+Eingabe!$J$40)^Ergebnis!D66)-(Eingabe!$L$41*(1+Eingabe!$J$41)^Ergebnis!D66)-(Eingabe!$L$42*(1+Eingabe!$J$42)^Ergebnis!D66),"")</f>
        <v>-1578.9818752251122</v>
      </c>
      <c r="I66" s="66">
        <f>IF(A66&lt;=Eingabe!$D$22,Eingabe!$D$46*(1+Eingabe!$J$46)^D66,"")</f>
        <v>0</v>
      </c>
      <c r="J66" s="83">
        <v>0</v>
      </c>
      <c r="K66" s="81">
        <f>IF(D66&lt;=Eingabe!$D$22,IF(D66=Eingabe!$D$30,(Eingabe!$L$29*Eingabe!$I$29)*(1+Eingabe!$J$29)^Ergebnis!D66,IF(D66=Eingabe!$D$31,(Eingabe!$L$30*Eingabe!$I$30)*(1+Eingabe!$J$30)^Ergebnis!D66,IF(D66=Eingabe!$D$32,(Eingabe!$L$31*Eingabe!$I$31)*(1+Eingabe!$J$31)^Ergebnis!D66,IF(D66=Eingabe!$D$33,(Eingabe!$L$32*Eingabe!$I$32)*(1+Eingabe!$J$32)^Ergebnis!D66,0)))),"")</f>
        <v>0</v>
      </c>
      <c r="L66" s="58">
        <f>IF(A66&lt;=Eingabe!$D$22,SUM(E66:K66),"")</f>
        <v>-1578.9818752251122</v>
      </c>
      <c r="M66" s="62">
        <f>IF(A66&lt;=Eingabe!$D$22,L66/(1+Eingabe!$D$23)^D66,"")</f>
        <v>-450.10132075035119</v>
      </c>
      <c r="N66" s="62">
        <f>IF(A66&lt;=Eingabe!$D$22,N65+M66,"")</f>
        <v>-73771.109404492032</v>
      </c>
      <c r="O66" s="25"/>
      <c r="T66" s="91">
        <f t="shared" si="0"/>
        <v>-1578.9818752251122</v>
      </c>
      <c r="U66" s="91">
        <f t="shared" si="4"/>
        <v>6512.7640084389614</v>
      </c>
      <c r="V66" s="91">
        <f t="shared" si="5"/>
        <v>8091.7458836640735</v>
      </c>
      <c r="X66" s="89">
        <v>32</v>
      </c>
      <c r="Y66" s="40">
        <f t="shared" si="1"/>
        <v>-73771.109404492032</v>
      </c>
      <c r="Z66" s="40">
        <f t="shared" si="2"/>
        <v>-20092.709005906501</v>
      </c>
      <c r="AA66" s="40">
        <f t="shared" si="6"/>
        <v>53678.400398585531</v>
      </c>
      <c r="AB66" s="41">
        <f t="shared" si="3"/>
        <v>0</v>
      </c>
      <c r="AE66" s="71">
        <f>IF(Y66&gt;0,IF(SUM(AE34:AE65)=0,X66,0),0)</f>
        <v>0</v>
      </c>
      <c r="AF66" s="71">
        <f>IF(Z66&gt;0,IF(SUM(AF34:AF65)=0,X66,0),0)</f>
        <v>0</v>
      </c>
      <c r="AG66" s="71"/>
      <c r="AH66" s="71"/>
    </row>
    <row r="67" spans="1:34" ht="14.25" customHeight="1" x14ac:dyDescent="0.25">
      <c r="A67" s="39">
        <v>33</v>
      </c>
      <c r="C67" s="61">
        <f>IF(A67&lt;=Eingabe!$D$22,C66+1,"")</f>
        <v>2051</v>
      </c>
      <c r="D67" s="57">
        <f>IF(A67&lt;=Eingabe!$D$22,D66+1,"")</f>
        <v>33</v>
      </c>
      <c r="E67" s="64">
        <f>IF(A67&lt;=Eingabe!$D$22,IF(D67=Eingabe!$D$30,-Eingabe!$L$30*(1+Eingabe!$J$30)^D67,IF(D67=Eingabe!$D$31,-Eingabe!$L$31*(1+Eingabe!$J$31)^D67,IF(D67=Eingabe!$D$32,-Eingabe!$L$32*(1+Eingabe!$J$32)^D67,0))),"")</f>
        <v>0</v>
      </c>
      <c r="F67" s="63">
        <f>IF(A67&lt;=Eingabe!$D$22,IF(D67=Eingabe!$D$36,-(Eingabe!$L$35+Eingabe!$L$36)*(1+Eingabe!$J$35)^Ergebnis!D67,-(Eingabe!$L$35)*(1+Eingabe!$J$35)^Ergebnis!D67),"")</f>
        <v>0</v>
      </c>
      <c r="G67" s="65">
        <f>IF(A67&lt;=Eingabe!$D$22,G66*(1+Eingabe!$J$37),"")</f>
        <v>0</v>
      </c>
      <c r="H67" s="65">
        <f>IF(A67&lt;=Eingabe!$D$22,(-Eingabe!$L$40*(1+Eingabe!$J$40)^Ergebnis!D67)-(Eingabe!$L$41*(1+Eingabe!$J$41)^Ergebnis!D67)-(Eingabe!$L$42*(1+Eingabe!$J$42)^Ergebnis!D67),"")</f>
        <v>-1594.7716939773634</v>
      </c>
      <c r="I67" s="66">
        <f>IF(A67&lt;=Eingabe!$D$22,Eingabe!$D$46*(1+Eingabe!$J$46)^D67,"")</f>
        <v>0</v>
      </c>
      <c r="J67" s="83">
        <v>0</v>
      </c>
      <c r="K67" s="81">
        <f>IF(D67&lt;=Eingabe!$D$22,IF(D67=Eingabe!$D$30,(Eingabe!$L$29*Eingabe!$I$29)*(1+Eingabe!$J$29)^Ergebnis!D67,IF(D67=Eingabe!$D$31,(Eingabe!$L$30*Eingabe!$I$30)*(1+Eingabe!$J$30)^Ergebnis!D67,IF(D67=Eingabe!$D$32,(Eingabe!$L$31*Eingabe!$I$31)*(1+Eingabe!$J$31)^Ergebnis!D67,IF(D67=Eingabe!$D$33,(Eingabe!$L$32*Eingabe!$I$32)*(1+Eingabe!$J$32)^Ergebnis!D67,0)))),"")</f>
        <v>0</v>
      </c>
      <c r="L67" s="58">
        <f>IF(A67&lt;=Eingabe!$D$22,SUM(E67:K67),"")</f>
        <v>-1594.7716939773634</v>
      </c>
      <c r="M67" s="62">
        <f>IF(A67&lt;=Eingabe!$D$22,L67/(1+Eingabe!$D$23)^D67,"")</f>
        <v>-437.11762880562958</v>
      </c>
      <c r="N67" s="62">
        <f>IF(A67&lt;=Eingabe!$D$22,N66+M67,"")</f>
        <v>-74208.227033297662</v>
      </c>
      <c r="O67" s="25"/>
      <c r="T67" s="91">
        <f t="shared" si="0"/>
        <v>-1594.7716939773634</v>
      </c>
      <c r="U67" s="91">
        <f t="shared" si="4"/>
        <v>6577.8916485233513</v>
      </c>
      <c r="V67" s="91">
        <f t="shared" si="5"/>
        <v>8172.6633425007149</v>
      </c>
      <c r="X67" s="89">
        <v>33</v>
      </c>
      <c r="Y67" s="40">
        <f t="shared" si="1"/>
        <v>-74208.227033297662</v>
      </c>
      <c r="Z67" s="40">
        <f t="shared" si="2"/>
        <v>-18289.747233508944</v>
      </c>
      <c r="AA67" s="40">
        <f t="shared" si="6"/>
        <v>55918.479799788722</v>
      </c>
      <c r="AB67" s="41">
        <f t="shared" si="3"/>
        <v>0</v>
      </c>
      <c r="AE67" s="71">
        <f>IF(Y67&gt;0,IF(SUM(AE34:AE66)=0,X67,0),0)</f>
        <v>0</v>
      </c>
      <c r="AF67" s="71">
        <f>IF(Z67&gt;0,IF(SUM(AF34:AF66)=0,X67,0),0)</f>
        <v>0</v>
      </c>
      <c r="AG67" s="71"/>
      <c r="AH67" s="71"/>
    </row>
    <row r="68" spans="1:34" ht="14.25" customHeight="1" x14ac:dyDescent="0.25">
      <c r="A68" s="39">
        <v>34</v>
      </c>
      <c r="C68" s="61">
        <f>IF(A68&lt;=Eingabe!$D$22,C67+1,"")</f>
        <v>2052</v>
      </c>
      <c r="D68" s="57">
        <f>IF(A68&lt;=Eingabe!$D$22,D67+1,"")</f>
        <v>34</v>
      </c>
      <c r="E68" s="64">
        <f>IF(A68&lt;=Eingabe!$D$22,IF(D68=Eingabe!$D$30,-Eingabe!$L$30*(1+Eingabe!$J$30)^D68,IF(D68=Eingabe!$D$31,-Eingabe!$L$31*(1+Eingabe!$J$31)^D68,IF(D68=Eingabe!$D$32,-Eingabe!$L$32*(1+Eingabe!$J$32)^D68,0))),"")</f>
        <v>0</v>
      </c>
      <c r="F68" s="63">
        <f>IF(A68&lt;=Eingabe!$D$22,IF(D68=Eingabe!$D$36,-(Eingabe!$L$35+Eingabe!$L$36)*(1+Eingabe!$J$35)^Ergebnis!D68,-(Eingabe!$L$35)*(1+Eingabe!$J$35)^Ergebnis!D68),"")</f>
        <v>0</v>
      </c>
      <c r="G68" s="65">
        <f>IF(A68&lt;=Eingabe!$D$22,G67*(1+Eingabe!$J$37),"")</f>
        <v>0</v>
      </c>
      <c r="H68" s="65">
        <f>IF(A68&lt;=Eingabe!$D$22,(-Eingabe!$L$40*(1+Eingabe!$J$40)^Ergebnis!D68)-(Eingabe!$L$41*(1+Eingabe!$J$41)^Ergebnis!D68)-(Eingabe!$L$42*(1+Eingabe!$J$42)^Ergebnis!D68),"")</f>
        <v>-1610.7194109171371</v>
      </c>
      <c r="I68" s="66">
        <f>IF(A68&lt;=Eingabe!$D$22,Eingabe!$D$46*(1+Eingabe!$J$46)^D68,"")</f>
        <v>0</v>
      </c>
      <c r="J68" s="83">
        <v>0</v>
      </c>
      <c r="K68" s="81">
        <f>IF(D68&lt;=Eingabe!$D$22,IF(D68=Eingabe!$D$30,(Eingabe!$L$29*Eingabe!$I$29)*(1+Eingabe!$J$29)^Ergebnis!D68,IF(D68=Eingabe!$D$31,(Eingabe!$L$30*Eingabe!$I$30)*(1+Eingabe!$J$30)^Ergebnis!D68,IF(D68=Eingabe!$D$32,(Eingabe!$L$31*Eingabe!$I$31)*(1+Eingabe!$J$31)^Ergebnis!D68,IF(D68=Eingabe!$D$33,(Eingabe!$L$32*Eingabe!$I$32)*(1+Eingabe!$J$32)^Ergebnis!D68,0)))),"")</f>
        <v>0</v>
      </c>
      <c r="L68" s="58">
        <f>IF(A68&lt;=Eingabe!$D$22,SUM(E68:K68),"")</f>
        <v>-1610.7194109171371</v>
      </c>
      <c r="M68" s="62">
        <f>IF(A68&lt;=Eingabe!$D$22,L68/(1+Eingabe!$D$23)^D68,"")</f>
        <v>-424.5084664362364</v>
      </c>
      <c r="N68" s="62">
        <f>IF(A68&lt;=Eingabe!$D$22,N67+M68,"")</f>
        <v>-74632.735499733899</v>
      </c>
      <c r="O68" s="25"/>
      <c r="T68" s="91">
        <f t="shared" si="0"/>
        <v>-1610.7194109171371</v>
      </c>
      <c r="U68" s="91">
        <f t="shared" si="4"/>
        <v>6643.6705650085842</v>
      </c>
      <c r="V68" s="91">
        <f t="shared" si="5"/>
        <v>8254.389975925722</v>
      </c>
      <c r="X68" s="89">
        <v>34</v>
      </c>
      <c r="Y68" s="40">
        <f t="shared" si="1"/>
        <v>-74632.735499733899</v>
      </c>
      <c r="Z68" s="40">
        <f t="shared" si="2"/>
        <v>-16538.793973776701</v>
      </c>
      <c r="AA68" s="40">
        <f t="shared" si="6"/>
        <v>58093.941525957198</v>
      </c>
      <c r="AB68" s="41">
        <f t="shared" si="3"/>
        <v>0</v>
      </c>
      <c r="AE68" s="71">
        <f>IF(Y68&gt;0,IF(SUM(AE34:AE67)=0,X68,0),0)</f>
        <v>0</v>
      </c>
      <c r="AF68" s="71">
        <f>IF(Z68&gt;0,IF(SUM(AF34:AF67)=0,X68,0),0)</f>
        <v>0</v>
      </c>
      <c r="AG68" s="71"/>
      <c r="AH68" s="71"/>
    </row>
    <row r="69" spans="1:34" ht="14.25" customHeight="1" x14ac:dyDescent="0.25">
      <c r="A69" s="39">
        <v>35</v>
      </c>
      <c r="C69" s="61">
        <f>IF(A69&lt;=Eingabe!$D$22,C68+1,"")</f>
        <v>2053</v>
      </c>
      <c r="D69" s="57">
        <f>IF(A69&lt;=Eingabe!$D$22,D68+1,"")</f>
        <v>35</v>
      </c>
      <c r="E69" s="64">
        <f>IF(A69&lt;=Eingabe!$D$22,IF(D69=Eingabe!$D$30,-Eingabe!$L$30*(1+Eingabe!$J$30)^D69,IF(D69=Eingabe!$D$31,-Eingabe!$L$31*(1+Eingabe!$J$31)^D69,IF(D69=Eingabe!$D$32,-Eingabe!$L$32*(1+Eingabe!$J$32)^D69,0))),"")</f>
        <v>0</v>
      </c>
      <c r="F69" s="63">
        <f>IF(A69&lt;=Eingabe!$D$22,IF(D69=Eingabe!$D$36,-(Eingabe!$L$35+Eingabe!$L$36)*(1+Eingabe!$J$35)^Ergebnis!D69,-(Eingabe!$L$35)*(1+Eingabe!$J$35)^Ergebnis!D69),"")</f>
        <v>0</v>
      </c>
      <c r="G69" s="65">
        <f>IF(A69&lt;=Eingabe!$D$22,G68*(1+Eingabe!$J$37),"")</f>
        <v>0</v>
      </c>
      <c r="H69" s="65">
        <f>IF(A69&lt;=Eingabe!$D$22,(-Eingabe!$L$40*(1+Eingabe!$J$40)^Ergebnis!D69)-(Eingabe!$L$41*(1+Eingabe!$J$41)^Ergebnis!D69)-(Eingabe!$L$42*(1+Eingabe!$J$42)^Ergebnis!D69),"")</f>
        <v>-1626.8266050263082</v>
      </c>
      <c r="I69" s="66">
        <f>IF(A69&lt;=Eingabe!$D$22,Eingabe!$D$46*(1+Eingabe!$J$46)^D69,"")</f>
        <v>0</v>
      </c>
      <c r="J69" s="83">
        <v>0</v>
      </c>
      <c r="K69" s="81">
        <f>IF(D69&lt;=Eingabe!$D$22,IF(D69=Eingabe!$D$30,(Eingabe!$L$29*Eingabe!$I$29)*(1+Eingabe!$J$29)^Ergebnis!D69,IF(D69=Eingabe!$D$31,(Eingabe!$L$30*Eingabe!$I$30)*(1+Eingabe!$J$30)^Ergebnis!D69,IF(D69=Eingabe!$D$32,(Eingabe!$L$31*Eingabe!$I$31)*(1+Eingabe!$J$31)^Ergebnis!D69,IF(D69=Eingabe!$D$33,(Eingabe!$L$32*Eingabe!$I$32)*(1+Eingabe!$J$32)^Ergebnis!D69,0)))),"")</f>
        <v>0</v>
      </c>
      <c r="L69" s="58">
        <f>IF(A69&lt;=Eingabe!$D$22,SUM(E69:K69),"")</f>
        <v>-1626.8266050263082</v>
      </c>
      <c r="M69" s="62">
        <f>IF(A69&lt;=Eingabe!$D$22,L69/(1+Eingabe!$D$23)^D69,"")</f>
        <v>-412.26302990442178</v>
      </c>
      <c r="N69" s="62">
        <f>IF(A69&lt;=Eingabe!$D$22,N68+M69,"")</f>
        <v>-75044.998529638324</v>
      </c>
      <c r="O69" s="25"/>
      <c r="T69" s="91">
        <f t="shared" si="0"/>
        <v>-1626.8266050263082</v>
      </c>
      <c r="U69" s="91">
        <f t="shared" si="4"/>
        <v>6710.1072706586692</v>
      </c>
      <c r="V69" s="91">
        <f t="shared" si="5"/>
        <v>8336.9338756849775</v>
      </c>
      <c r="X69" s="89">
        <v>35</v>
      </c>
      <c r="Y69" s="40">
        <f t="shared" si="1"/>
        <v>-75044.998529638324</v>
      </c>
      <c r="Z69" s="40">
        <f t="shared" si="2"/>
        <v>-14838.348981152119</v>
      </c>
      <c r="AA69" s="40">
        <f t="shared" si="6"/>
        <v>60206.649548486203</v>
      </c>
      <c r="AB69" s="41">
        <f t="shared" si="3"/>
        <v>0</v>
      </c>
      <c r="AE69" s="71">
        <f>IF(Y69&gt;0,IF(SUM(AE34:AE68)=0,X69,0),0)</f>
        <v>0</v>
      </c>
      <c r="AF69" s="71">
        <f>IF(Z69&gt;0,IF(SUM(AF34:AF68)=0,X69,0),0)</f>
        <v>0</v>
      </c>
      <c r="AG69" s="71"/>
      <c r="AH69" s="71"/>
    </row>
    <row r="70" spans="1:34" ht="14.25" customHeight="1" x14ac:dyDescent="0.25">
      <c r="A70" s="39">
        <v>36</v>
      </c>
      <c r="C70" s="61">
        <f>IF(A70&lt;=Eingabe!$D$22,C69+1,"")</f>
        <v>2054</v>
      </c>
      <c r="D70" s="57">
        <f>IF(A70&lt;=Eingabe!$D$22,D69+1,"")</f>
        <v>36</v>
      </c>
      <c r="E70" s="64">
        <f>IF(A70&lt;=Eingabe!$D$22,IF(D70=Eingabe!$D$30,-Eingabe!$L$30*(1+Eingabe!$J$30)^D70,IF(D70=Eingabe!$D$31,-Eingabe!$L$31*(1+Eingabe!$J$31)^D70,IF(D70=Eingabe!$D$32,-Eingabe!$L$32*(1+Eingabe!$J$32)^D70,0))),"")</f>
        <v>0</v>
      </c>
      <c r="F70" s="63">
        <f>IF(A70&lt;=Eingabe!$D$22,IF(D70=Eingabe!$D$36,-(Eingabe!$L$35+Eingabe!$L$36)*(1+Eingabe!$J$35)^Ergebnis!D70,-(Eingabe!$L$35)*(1+Eingabe!$J$35)^Ergebnis!D70),"")</f>
        <v>0</v>
      </c>
      <c r="G70" s="65">
        <f>IF(A70&lt;=Eingabe!$D$22,G69*(1+Eingabe!$J$37),"")</f>
        <v>0</v>
      </c>
      <c r="H70" s="65">
        <f>IF(A70&lt;=Eingabe!$D$22,(-Eingabe!$L$40*(1+Eingabe!$J$40)^Ergebnis!D70)-(Eingabe!$L$41*(1+Eingabe!$J$41)^Ergebnis!D70)-(Eingabe!$L$42*(1+Eingabe!$J$42)^Ergebnis!D70),"")</f>
        <v>-1643.0948710765715</v>
      </c>
      <c r="I70" s="66">
        <f>IF(A70&lt;=Eingabe!$D$22,Eingabe!$D$46*(1+Eingabe!$J$46)^D70,"")</f>
        <v>0</v>
      </c>
      <c r="J70" s="83">
        <v>0</v>
      </c>
      <c r="K70" s="81">
        <f>IF(D70&lt;=Eingabe!$D$22,IF(D70=Eingabe!$D$30,(Eingabe!$L$29*Eingabe!$I$29)*(1+Eingabe!$J$29)^Ergebnis!D70,IF(D70=Eingabe!$D$31,(Eingabe!$L$30*Eingabe!$I$30)*(1+Eingabe!$J$30)^Ergebnis!D70,IF(D70=Eingabe!$D$32,(Eingabe!$L$31*Eingabe!$I$31)*(1+Eingabe!$J$31)^Ergebnis!D70,IF(D70=Eingabe!$D$33,(Eingabe!$L$32*Eingabe!$I$32)*(1+Eingabe!$J$32)^Ergebnis!D70,0)))),"")</f>
        <v>0</v>
      </c>
      <c r="L70" s="58">
        <f>IF(A70&lt;=Eingabe!$D$22,SUM(E70:K70),"")</f>
        <v>-1643.0948710765715</v>
      </c>
      <c r="M70" s="62">
        <f>IF(A70&lt;=Eingabe!$D$22,L70/(1+Eingabe!$D$23)^D70,"")</f>
        <v>-400.37082711871739</v>
      </c>
      <c r="N70" s="62">
        <f>IF(A70&lt;=Eingabe!$D$22,N69+M70,"")</f>
        <v>-75445.369356757044</v>
      </c>
      <c r="O70" s="25"/>
      <c r="T70" s="91">
        <f t="shared" si="0"/>
        <v>-1643.0948710765715</v>
      </c>
      <c r="U70" s="91">
        <f t="shared" si="4"/>
        <v>6777.208343365257</v>
      </c>
      <c r="V70" s="91">
        <f t="shared" si="5"/>
        <v>8420.3032144418285</v>
      </c>
      <c r="X70" s="89">
        <v>36</v>
      </c>
      <c r="Y70" s="40">
        <f t="shared" si="1"/>
        <v>-75445.369356757044</v>
      </c>
      <c r="Z70" s="40">
        <f t="shared" si="2"/>
        <v>-13186.955286391709</v>
      </c>
      <c r="AA70" s="40">
        <f t="shared" si="6"/>
        <v>62258.414070365339</v>
      </c>
      <c r="AB70" s="41">
        <f t="shared" si="3"/>
        <v>0</v>
      </c>
      <c r="AE70" s="71">
        <f>IF(Y70&gt;0,IF(SUM(AE34:AE69)=0,X70,0),0)</f>
        <v>0</v>
      </c>
      <c r="AF70" s="71">
        <f>IF(Z70&gt;0,IF(SUM(AF34:AF69)=0,X70,0),0)</f>
        <v>0</v>
      </c>
      <c r="AG70" s="71"/>
      <c r="AH70" s="71"/>
    </row>
    <row r="71" spans="1:34" ht="14.25" customHeight="1" x14ac:dyDescent="0.25">
      <c r="A71" s="39">
        <v>37</v>
      </c>
      <c r="C71" s="61">
        <f>IF(A71&lt;=Eingabe!$D$22,C70+1,"")</f>
        <v>2055</v>
      </c>
      <c r="D71" s="57">
        <f>IF(A71&lt;=Eingabe!$D$22,D70+1,"")</f>
        <v>37</v>
      </c>
      <c r="E71" s="64">
        <f>IF(A71&lt;=Eingabe!$D$22,IF(D71=Eingabe!$D$30,-Eingabe!$L$30*(1+Eingabe!$J$30)^D71,IF(D71=Eingabe!$D$31,-Eingabe!$L$31*(1+Eingabe!$J$31)^D71,IF(D71=Eingabe!$D$32,-Eingabe!$L$32*(1+Eingabe!$J$32)^D71,0))),"")</f>
        <v>0</v>
      </c>
      <c r="F71" s="63">
        <f>IF(A71&lt;=Eingabe!$D$22,IF(D71=Eingabe!$D$36,-(Eingabe!$L$35+Eingabe!$L$36)*(1+Eingabe!$J$35)^Ergebnis!D71,-(Eingabe!$L$35)*(1+Eingabe!$J$35)^Ergebnis!D71),"")</f>
        <v>0</v>
      </c>
      <c r="G71" s="65">
        <f>IF(A71&lt;=Eingabe!$D$22,G70*(1+Eingabe!$J$37),"")</f>
        <v>0</v>
      </c>
      <c r="H71" s="65">
        <f>IF(A71&lt;=Eingabe!$D$22,(-Eingabe!$L$40*(1+Eingabe!$J$40)^Ergebnis!D71)-(Eingabe!$L$41*(1+Eingabe!$J$41)^Ergebnis!D71)-(Eingabe!$L$42*(1+Eingabe!$J$42)^Ergebnis!D71),"")</f>
        <v>-1659.5258197873372</v>
      </c>
      <c r="I71" s="66">
        <f>IF(A71&lt;=Eingabe!$D$22,Eingabe!$D$46*(1+Eingabe!$J$46)^D71,"")</f>
        <v>0</v>
      </c>
      <c r="J71" s="83">
        <v>0</v>
      </c>
      <c r="K71" s="81">
        <f>IF(D71&lt;=Eingabe!$D$22,IF(D71=Eingabe!$D$30,(Eingabe!$L$29*Eingabe!$I$29)*(1+Eingabe!$J$29)^Ergebnis!D71,IF(D71=Eingabe!$D$31,(Eingabe!$L$30*Eingabe!$I$30)*(1+Eingabe!$J$30)^Ergebnis!D71,IF(D71=Eingabe!$D$32,(Eingabe!$L$31*Eingabe!$I$31)*(1+Eingabe!$J$31)^Ergebnis!D71,IF(D71=Eingabe!$D$33,(Eingabe!$L$32*Eingabe!$I$32)*(1+Eingabe!$J$32)^Ergebnis!D71,0)))),"")</f>
        <v>0</v>
      </c>
      <c r="L71" s="58">
        <f>IF(A71&lt;=Eingabe!$D$22,SUM(E71:K71),"")</f>
        <v>-1659.5258197873372</v>
      </c>
      <c r="M71" s="62">
        <f>IF(A71&lt;=Eingabe!$D$22,L71/(1+Eingabe!$D$23)^D71,"")</f>
        <v>-388.82166864413892</v>
      </c>
      <c r="N71" s="62">
        <f>IF(A71&lt;=Eingabe!$D$22,N70+M71,"")</f>
        <v>-75834.191025401189</v>
      </c>
      <c r="O71" s="25"/>
      <c r="T71" s="91">
        <f t="shared" si="0"/>
        <v>-1659.5258197873372</v>
      </c>
      <c r="U71" s="91">
        <f t="shared" si="4"/>
        <v>6844.9804267989093</v>
      </c>
      <c r="V71" s="91">
        <f t="shared" si="5"/>
        <v>8504.5062465862466</v>
      </c>
      <c r="X71" s="89">
        <v>37</v>
      </c>
      <c r="Y71" s="40">
        <f t="shared" si="1"/>
        <v>-75834.191025401189</v>
      </c>
      <c r="Z71" s="40">
        <f t="shared" si="2"/>
        <v>-11583.197948210925</v>
      </c>
      <c r="AA71" s="40">
        <f t="shared" si="6"/>
        <v>64250.993077190265</v>
      </c>
      <c r="AB71" s="41">
        <f t="shared" si="3"/>
        <v>0</v>
      </c>
      <c r="AE71" s="71">
        <f>IF(Y71&gt;0,IF(SUM(AE34:AE70)=0,X71,0),0)</f>
        <v>0</v>
      </c>
      <c r="AF71" s="71">
        <f>IF(Z71&gt;0,IF(SUM(AF34:AF70)=0,X71,0),0)</f>
        <v>0</v>
      </c>
      <c r="AG71" s="71"/>
      <c r="AH71" s="71"/>
    </row>
    <row r="72" spans="1:34" ht="14.25" customHeight="1" x14ac:dyDescent="0.25">
      <c r="A72" s="39">
        <v>38</v>
      </c>
      <c r="C72" s="61">
        <f>IF(A72&lt;=Eingabe!$D$22,C71+1,"")</f>
        <v>2056</v>
      </c>
      <c r="D72" s="57">
        <f>IF(A72&lt;=Eingabe!$D$22,D71+1,"")</f>
        <v>38</v>
      </c>
      <c r="E72" s="64">
        <f>IF(A72&lt;=Eingabe!$D$22,IF(D72=Eingabe!$D$30,-Eingabe!$L$30*(1+Eingabe!$J$30)^D72,IF(D72=Eingabe!$D$31,-Eingabe!$L$31*(1+Eingabe!$J$31)^D72,IF(D72=Eingabe!$D$32,-Eingabe!$L$32*(1+Eingabe!$J$32)^D72,0))),"")</f>
        <v>0</v>
      </c>
      <c r="F72" s="63">
        <f>IF(A72&lt;=Eingabe!$D$22,IF(D72=Eingabe!$D$36,-(Eingabe!$L$35+Eingabe!$L$36)*(1+Eingabe!$J$35)^Ergebnis!D72,-(Eingabe!$L$35)*(1+Eingabe!$J$35)^Ergebnis!D72),"")</f>
        <v>0</v>
      </c>
      <c r="G72" s="65">
        <f>IF(A72&lt;=Eingabe!$D$22,G71*(1+Eingabe!$J$37),"")</f>
        <v>0</v>
      </c>
      <c r="H72" s="65">
        <f>IF(A72&lt;=Eingabe!$D$22,(-Eingabe!$L$40*(1+Eingabe!$J$40)^Ergebnis!D72)-(Eingabe!$L$41*(1+Eingabe!$J$41)^Ergebnis!D72)-(Eingabe!$L$42*(1+Eingabe!$J$42)^Ergebnis!D72),"")</f>
        <v>-1676.1210779852106</v>
      </c>
      <c r="I72" s="66">
        <f>IF(A72&lt;=Eingabe!$D$22,Eingabe!$D$46*(1+Eingabe!$J$46)^D72,"")</f>
        <v>0</v>
      </c>
      <c r="J72" s="83">
        <v>0</v>
      </c>
      <c r="K72" s="81">
        <f>IF(D72&lt;=Eingabe!$D$22,IF(D72=Eingabe!$D$30,(Eingabe!$L$29*Eingabe!$I$29)*(1+Eingabe!$J$29)^Ergebnis!D72,IF(D72=Eingabe!$D$31,(Eingabe!$L$30*Eingabe!$I$30)*(1+Eingabe!$J$30)^Ergebnis!D72,IF(D72=Eingabe!$D$32,(Eingabe!$L$31*Eingabe!$I$31)*(1+Eingabe!$J$31)^Ergebnis!D72,IF(D72=Eingabe!$D$33,(Eingabe!$L$32*Eingabe!$I$32)*(1+Eingabe!$J$32)^Ergebnis!D72,0)))),"")</f>
        <v>0</v>
      </c>
      <c r="L72" s="58">
        <f>IF(A72&lt;=Eingabe!$D$22,SUM(E72:K72),"")</f>
        <v>-1676.1210779852106</v>
      </c>
      <c r="M72" s="62">
        <f>IF(A72&lt;=Eingabe!$D$22,L72/(1+Eingabe!$D$23)^D72,"")</f>
        <v>-377.60565897171188</v>
      </c>
      <c r="N72" s="62">
        <f>IF(A72&lt;=Eingabe!$D$22,N71+M72,"")</f>
        <v>-76211.796684372908</v>
      </c>
      <c r="O72" s="25"/>
      <c r="T72" s="91">
        <f t="shared" si="0"/>
        <v>-1676.1210779852106</v>
      </c>
      <c r="U72" s="91">
        <f t="shared" si="4"/>
        <v>6913.4302310668991</v>
      </c>
      <c r="V72" s="91">
        <f t="shared" si="5"/>
        <v>8589.551309052109</v>
      </c>
      <c r="X72" s="89">
        <v>38</v>
      </c>
      <c r="Y72" s="40">
        <f t="shared" si="1"/>
        <v>-76211.796684372908</v>
      </c>
      <c r="Z72" s="40">
        <f t="shared" si="2"/>
        <v>-10025.702840939202</v>
      </c>
      <c r="AA72" s="40">
        <f t="shared" si="6"/>
        <v>66186.0938434337</v>
      </c>
      <c r="AB72" s="41">
        <f t="shared" si="3"/>
        <v>0</v>
      </c>
      <c r="AE72" s="71">
        <f>IF(Y72&gt;0,IF(SUM(AE34:AE71)=0,X72,0),0)</f>
        <v>0</v>
      </c>
      <c r="AF72" s="71">
        <f>IF(Z72&gt;0,IF(SUM(AF34:AF71)=0,X72,0),0)</f>
        <v>0</v>
      </c>
      <c r="AG72" s="71"/>
      <c r="AH72" s="71"/>
    </row>
    <row r="73" spans="1:34" ht="14.25" customHeight="1" x14ac:dyDescent="0.25">
      <c r="A73" s="39">
        <v>39</v>
      </c>
      <c r="C73" s="61">
        <f>IF(A73&lt;=Eingabe!$D$22,C72+1,"")</f>
        <v>2057</v>
      </c>
      <c r="D73" s="57">
        <f>IF(A73&lt;=Eingabe!$D$22,D72+1,"")</f>
        <v>39</v>
      </c>
      <c r="E73" s="64">
        <f>IF(A73&lt;=Eingabe!$D$22,IF(D73=Eingabe!$D$30,-Eingabe!$L$30*(1+Eingabe!$J$30)^D73,IF(D73=Eingabe!$D$31,-Eingabe!$L$31*(1+Eingabe!$J$31)^D73,IF(D73=Eingabe!$D$32,-Eingabe!$L$32*(1+Eingabe!$J$32)^D73,0))),"")</f>
        <v>0</v>
      </c>
      <c r="F73" s="63">
        <f>IF(A73&lt;=Eingabe!$D$22,IF(D73=Eingabe!$D$36,-(Eingabe!$L$35+Eingabe!$L$36)*(1+Eingabe!$J$35)^Ergebnis!D73,-(Eingabe!$L$35)*(1+Eingabe!$J$35)^Ergebnis!D73),"")</f>
        <v>0</v>
      </c>
      <c r="G73" s="65">
        <f>IF(A73&lt;=Eingabe!$D$22,G72*(1+Eingabe!$J$37),"")</f>
        <v>0</v>
      </c>
      <c r="H73" s="65">
        <f>IF(A73&lt;=Eingabe!$D$22,(-Eingabe!$L$40*(1+Eingabe!$J$40)^Ergebnis!D73)-(Eingabe!$L$41*(1+Eingabe!$J$41)^Ergebnis!D73)-(Eingabe!$L$42*(1+Eingabe!$J$42)^Ergebnis!D73),"")</f>
        <v>-1692.8822887650624</v>
      </c>
      <c r="I73" s="66">
        <f>IF(A73&lt;=Eingabe!$D$22,Eingabe!$D$46*(1+Eingabe!$J$46)^D73,"")</f>
        <v>0</v>
      </c>
      <c r="J73" s="83">
        <v>0</v>
      </c>
      <c r="K73" s="81">
        <f>IF(D73&lt;=Eingabe!$D$22,IF(D73=Eingabe!$D$30,(Eingabe!$L$29*Eingabe!$I$29)*(1+Eingabe!$J$29)^Ergebnis!D73,IF(D73=Eingabe!$D$31,(Eingabe!$L$30*Eingabe!$I$30)*(1+Eingabe!$J$30)^Ergebnis!D73,IF(D73=Eingabe!$D$32,(Eingabe!$L$31*Eingabe!$I$31)*(1+Eingabe!$J$31)^Ergebnis!D73,IF(D73=Eingabe!$D$33,(Eingabe!$L$32*Eingabe!$I$32)*(1+Eingabe!$J$32)^Ergebnis!D73,0)))),"")</f>
        <v>0</v>
      </c>
      <c r="L73" s="58">
        <f>IF(A73&lt;=Eingabe!$D$22,SUM(E73:K73),"")</f>
        <v>-1692.8822887650624</v>
      </c>
      <c r="M73" s="62">
        <f>IF(A73&lt;=Eingabe!$D$22,L73/(1+Eingabe!$D$23)^D73,"")</f>
        <v>-366.71318803983553</v>
      </c>
      <c r="N73" s="62">
        <f>IF(A73&lt;=Eingabe!$D$22,N72+M73,"")</f>
        <v>-76578.509872412746</v>
      </c>
      <c r="O73" s="25"/>
      <c r="T73" s="91">
        <f t="shared" si="0"/>
        <v>-1692.8822887650624</v>
      </c>
      <c r="U73" s="91">
        <f t="shared" si="4"/>
        <v>6982.5645333775665</v>
      </c>
      <c r="V73" s="91">
        <f t="shared" si="5"/>
        <v>8675.4468221426287</v>
      </c>
      <c r="X73" s="89">
        <v>39</v>
      </c>
      <c r="Y73" s="40">
        <f t="shared" si="1"/>
        <v>-76578.509872412746</v>
      </c>
      <c r="Z73" s="40">
        <f t="shared" si="2"/>
        <v>-8513.1354771464721</v>
      </c>
      <c r="AA73" s="40">
        <f t="shared" si="6"/>
        <v>68065.374395266277</v>
      </c>
      <c r="AB73" s="41">
        <f t="shared" si="3"/>
        <v>0</v>
      </c>
      <c r="AE73" s="71">
        <f>IF(Y73&gt;0,IF(SUM(AE34:AE72)=0,X73,0),0)</f>
        <v>0</v>
      </c>
      <c r="AF73" s="71">
        <f>IF(Z73&gt;0,IF(SUM(AF34:AF72)=0,X73,0),0)</f>
        <v>0</v>
      </c>
      <c r="AG73" s="71"/>
      <c r="AH73" s="71"/>
    </row>
    <row r="74" spans="1:34" ht="14.25" customHeight="1" x14ac:dyDescent="0.25">
      <c r="A74" s="39">
        <v>40</v>
      </c>
      <c r="C74" s="61">
        <f>IF(A74&lt;=Eingabe!$D$22,C73+1,"")</f>
        <v>2058</v>
      </c>
      <c r="D74" s="57">
        <f>IF(A74&lt;=Eingabe!$D$22,D73+1,"")</f>
        <v>40</v>
      </c>
      <c r="E74" s="64">
        <f>IF(A74&lt;=Eingabe!$D$22,IF(D74=Eingabe!$D$30,-Eingabe!$L$30*(1+Eingabe!$J$30)^D74,IF(D74=Eingabe!$D$31,-Eingabe!$L$31*(1+Eingabe!$J$31)^D74,IF(D74=Eingabe!$D$32,-Eingabe!$L$32*(1+Eingabe!$J$32)^D74,0))),"")</f>
        <v>0</v>
      </c>
      <c r="F74" s="63">
        <f>IF(A74&lt;=Eingabe!$D$22,IF(D74=Eingabe!$D$36,-(Eingabe!$L$35+Eingabe!$L$36)*(1+Eingabe!$J$35)^Ergebnis!D74,-(Eingabe!$L$35)*(1+Eingabe!$J$35)^Ergebnis!D74),"")</f>
        <v>0</v>
      </c>
      <c r="G74" s="65">
        <f>IF(A74&lt;=Eingabe!$D$22,G73*(1+Eingabe!$J$37),"")</f>
        <v>0</v>
      </c>
      <c r="H74" s="65">
        <f>IF(A74&lt;=Eingabe!$D$22,(-Eingabe!$L$40*(1+Eingabe!$J$40)^Ergebnis!D74)-(Eingabe!$L$41*(1+Eingabe!$J$41)^Ergebnis!D74)-(Eingabe!$L$42*(1+Eingabe!$J$42)^Ergebnis!D74),"")</f>
        <v>-1709.8111116527134</v>
      </c>
      <c r="I74" s="66">
        <f>IF(A74&lt;=Eingabe!$D$22,Eingabe!$D$46*(1+Eingabe!$J$46)^D74,"")</f>
        <v>0</v>
      </c>
      <c r="J74" s="84">
        <v>0</v>
      </c>
      <c r="K74" s="81">
        <f>IF(D74&lt;=Eingabe!$D$22,IF(D74=Eingabe!$D$30,(Eingabe!$L$29*Eingabe!$I$29)*(1+Eingabe!$J$29)^Ergebnis!D74,IF(D74=Eingabe!$D$31,(Eingabe!$L$30*Eingabe!$I$30)*(1+Eingabe!$J$30)^Ergebnis!D74,IF(D74=Eingabe!$D$32,(Eingabe!$L$31*Eingabe!$I$31)*(1+Eingabe!$J$31)^Ergebnis!D74,IF(D74=Eingabe!$D$33,(Eingabe!$L$32*Eingabe!$I$32)*(1+Eingabe!$J$32)^Ergebnis!D74,(Eingabe!$L$29*Eingabe!$I$29)*(1+Eingabe!$J$29)^Ergebnis!D74)))),"")</f>
        <v>552.00991590371291</v>
      </c>
      <c r="L74" s="58">
        <f>IF(A74&lt;=Eingabe!$D$22,SUM(E74:K74),"")</f>
        <v>-1157.8011957490005</v>
      </c>
      <c r="M74" s="62">
        <f>IF(A74&lt;=Eingabe!$D$22,L74/(1+Eingabe!$D$23)^D74,"")</f>
        <v>-241.1573049721701</v>
      </c>
      <c r="N74" s="62">
        <f>IF(A74&lt;=Eingabe!$D$22,N73+M74,"")</f>
        <v>-76819.667177384923</v>
      </c>
      <c r="O74" s="25"/>
      <c r="T74" s="91">
        <f t="shared" si="0"/>
        <v>-1157.8011957490005</v>
      </c>
      <c r="U74" s="91">
        <f t="shared" si="4"/>
        <v>9922.8417414106516</v>
      </c>
      <c r="V74" s="91">
        <f t="shared" si="5"/>
        <v>11080.642937159651</v>
      </c>
      <c r="X74" s="89">
        <v>40</v>
      </c>
      <c r="Y74" s="40">
        <f t="shared" si="1"/>
        <v>-76819.667177384923</v>
      </c>
      <c r="Z74" s="40">
        <f t="shared" si="2"/>
        <v>-6446.316250486494</v>
      </c>
      <c r="AA74" s="40">
        <f t="shared" si="6"/>
        <v>70373.350926898434</v>
      </c>
      <c r="AB74" s="41">
        <f t="shared" si="3"/>
        <v>0</v>
      </c>
      <c r="AE74" s="71">
        <f>IF(Y74&gt;0,IF(SUM(AE34:AE73)=0,X74,0),0)</f>
        <v>0</v>
      </c>
      <c r="AF74" s="71">
        <f>IF(Z74&gt;0,IF(SUM(AF34:AF73)=0,X74,0),0)</f>
        <v>0</v>
      </c>
      <c r="AG74" s="71"/>
      <c r="AH74" s="71"/>
    </row>
    <row r="75" spans="1:34" ht="14.25" customHeight="1" x14ac:dyDescent="0.25">
      <c r="A75" s="25"/>
      <c r="C75" s="28"/>
      <c r="D75" s="28"/>
      <c r="E75" s="28"/>
      <c r="F75" s="28"/>
      <c r="G75" s="28"/>
      <c r="H75" s="28"/>
      <c r="I75" s="29">
        <f>SUM(I34:I74)</f>
        <v>0</v>
      </c>
      <c r="J75" s="29">
        <f>SUM(J34:J74)</f>
        <v>0</v>
      </c>
      <c r="K75" s="29"/>
      <c r="L75" s="30">
        <f>SUM(L34:L74)</f>
        <v>-136502.05286121398</v>
      </c>
      <c r="M75" s="31">
        <f>SUM(M34:M74)</f>
        <v>-76819.667177384923</v>
      </c>
      <c r="N75" s="31">
        <f>SUM(N34:N74)</f>
        <v>-2203904.7035940588</v>
      </c>
      <c r="O75" s="25"/>
      <c r="T75" s="91"/>
      <c r="AE75" s="71"/>
      <c r="AF75" s="71"/>
      <c r="AG75" s="71"/>
      <c r="AH75" s="71"/>
    </row>
    <row r="76" spans="1:34" x14ac:dyDescent="0.25">
      <c r="A76" s="25"/>
      <c r="O76" s="25"/>
    </row>
    <row r="77" spans="1:34" x14ac:dyDescent="0.25">
      <c r="A77" s="25"/>
      <c r="O77" s="25"/>
    </row>
    <row r="78" spans="1:34" x14ac:dyDescent="0.25">
      <c r="B78" s="26"/>
      <c r="C78" s="367" t="str">
        <f>Eingabe!B50</f>
        <v>Nachhaltige Maßnahme (2)</v>
      </c>
      <c r="D78" s="368"/>
      <c r="E78" s="368"/>
      <c r="F78" s="368"/>
      <c r="G78" s="368"/>
      <c r="H78" s="368"/>
      <c r="I78" s="368"/>
      <c r="J78" s="368"/>
      <c r="K78" s="368"/>
      <c r="L78" s="368"/>
      <c r="M78" s="368"/>
      <c r="N78" s="369"/>
      <c r="O78" s="25"/>
    </row>
    <row r="79" spans="1:34" ht="33.75" x14ac:dyDescent="0.25">
      <c r="B79" s="26"/>
      <c r="C79" s="283" t="s">
        <v>52</v>
      </c>
      <c r="D79" s="283" t="s">
        <v>54</v>
      </c>
      <c r="E79" s="283" t="s">
        <v>55</v>
      </c>
      <c r="F79" s="283" t="s">
        <v>70</v>
      </c>
      <c r="G79" s="283" t="s">
        <v>56</v>
      </c>
      <c r="H79" s="283" t="s">
        <v>82</v>
      </c>
      <c r="I79" s="285" t="s">
        <v>57</v>
      </c>
      <c r="J79" s="285" t="s">
        <v>58</v>
      </c>
      <c r="K79" s="285" t="s">
        <v>59</v>
      </c>
      <c r="L79" s="280" t="s">
        <v>60</v>
      </c>
      <c r="M79" s="284" t="s">
        <v>83</v>
      </c>
      <c r="N79" s="284" t="s">
        <v>84</v>
      </c>
      <c r="O79" s="25"/>
    </row>
    <row r="80" spans="1:34" x14ac:dyDescent="0.25">
      <c r="A80" s="39">
        <v>0</v>
      </c>
      <c r="B80" s="26"/>
      <c r="C80" s="24">
        <f>IF(A80&lt;=Eingabe!D22,2018,"")</f>
        <v>2018</v>
      </c>
      <c r="D80" s="1">
        <f>IF(A80&lt;=Eingabe!$D$22,0,"")</f>
        <v>0</v>
      </c>
      <c r="E80" s="34">
        <f>IF(A80&lt;=Eingabe!$D$22,-Eingabe!L52,"")</f>
        <v>-65000</v>
      </c>
      <c r="F80" s="34"/>
      <c r="G80" s="34"/>
      <c r="H80" s="34"/>
      <c r="I80" s="72"/>
      <c r="J80" s="77"/>
      <c r="K80" s="37"/>
      <c r="L80" s="2">
        <f>IF(A80&lt;=Eingabe!$D$22,SUM(E80:K80),"")</f>
        <v>-65000</v>
      </c>
      <c r="M80" s="32">
        <f>IF(A80&lt;=Eingabe!$D$22,L80/(1+Eingabe!$D$23)^D80,"")</f>
        <v>-65000</v>
      </c>
      <c r="N80" s="32">
        <f>IF(A80&lt;=Eingabe!$D$22,M80,"")</f>
        <v>-65000</v>
      </c>
      <c r="O80" s="25"/>
    </row>
    <row r="81" spans="1:15" x14ac:dyDescent="0.25">
      <c r="A81" s="39">
        <v>1</v>
      </c>
      <c r="B81" s="26"/>
      <c r="C81" s="24">
        <f>IF(A81&lt;=Eingabe!$D$22,C80+1,"")</f>
        <v>2019</v>
      </c>
      <c r="D81" s="1">
        <f>IF(A81&lt;=Eingabe!$D$22,D80+1,"")</f>
        <v>1</v>
      </c>
      <c r="E81" s="35">
        <f>IF(A81&lt;=Eingabe!$D$22,IF(D81=Eingabe!$D$53,-Eingabe!$L$53*(1+Eingabe!$J$52)^D81,IF(D81=Eingabe!$D$54,-Eingabe!$L$54*(1+Eingabe!$J$53)^D81,IF(D81=Eingabe!$D$55,-Eingabe!$L$55*(1+Eingabe!$J$54)^D81,0))),"")</f>
        <v>0</v>
      </c>
      <c r="F81" s="34">
        <f>IF(A81&lt;=Eingabe!$D$22,IF(D81=Eingabe!$D$59,-(Eingabe!$L$58+Eingabe!$L$59)*(1+Eingabe!$J$57)^D81,-(Eingabe!$L$58)*(1+Eingabe!$J$57)^D81),"")</f>
        <v>0</v>
      </c>
      <c r="G81" s="36">
        <f>IF(A81&lt;=Eingabe!$D$22,-Eingabe!L60,"")</f>
        <v>0</v>
      </c>
      <c r="H81" s="36">
        <f>IF(A81&lt;=Eingabe!$D$22,-SUM(Eingabe!L62:L64),"")</f>
        <v>-1263.24</v>
      </c>
      <c r="I81" s="38">
        <f>IF(A81&lt;=Eingabe!$D$22,Eingabe!D67+Eingabe!D68,"")</f>
        <v>0</v>
      </c>
      <c r="J81" s="75">
        <f>IF(A81&lt;=Eingabe!$D$22,Eingabe!$L$19,"")</f>
        <v>6000</v>
      </c>
      <c r="K81" s="38">
        <f>IF(D81&lt;=Eingabe!$D$22,IF(D81=Eingabe!$D$53,(Eingabe!$L$52*Eingabe!$I$52)*(1+Eingabe!$J$52)^Ergebnis!D81,IF(D81=Eingabe!$D$54,(Eingabe!$L$53*Eingabe!$I$53)*(1+Eingabe!$J$53)^Ergebnis!D81,IF(D81=Eingabe!$D$55,(Eingabe!$L$54*Eingabe!$I$54)*(1+Eingabe!$J$54)^Ergebnis!D81,IF(D81=Eingabe!$D$56,(Eingabe!$L$55*Eingabe!$I$55)*(1+Eingabe!$J$55)^Ergebnis!D81,0)))),"")</f>
        <v>0</v>
      </c>
      <c r="L81" s="2">
        <f>IF(A81&lt;=Eingabe!$D$22,SUM(E81:K81),"")</f>
        <v>4736.76</v>
      </c>
      <c r="M81" s="32">
        <f>IF(A81&lt;=Eingabe!$D$22,L81/(1+Eingabe!$D$23)^D81,"")</f>
        <v>4554.5769230769229</v>
      </c>
      <c r="N81" s="32">
        <f>IF(A81&lt;=Eingabe!$D$22,N80+M81,"")</f>
        <v>-60445.423076923078</v>
      </c>
      <c r="O81" s="25"/>
    </row>
    <row r="82" spans="1:15" x14ac:dyDescent="0.25">
      <c r="A82" s="39">
        <v>2</v>
      </c>
      <c r="B82" s="33"/>
      <c r="C82" s="61">
        <f>IF(A82&lt;=Eingabe!$D$22,C81+1,"")</f>
        <v>2020</v>
      </c>
      <c r="D82" s="1">
        <f>IF(A82&lt;=Eingabe!$D$22,D81+1,"")</f>
        <v>2</v>
      </c>
      <c r="E82" s="80">
        <f>IF(A82&lt;=Eingabe!$D$22,IF(D82=Eingabe!$D$53,-Eingabe!$L$53*(1+Eingabe!$J$52)^D82,IF(D82=Eingabe!$D$54,-Eingabe!$L$54*(1+Eingabe!$J$53)^D82,IF(D82=Eingabe!$D$55,-Eingabe!$L$55*(1+Eingabe!$J$54)^D82,0))),"")</f>
        <v>0</v>
      </c>
      <c r="F82" s="34">
        <f>IF(A82&lt;=Eingabe!$D$22,IF(D82=Eingabe!$D$59,-(Eingabe!$L$58+Eingabe!$L$59)*(1+Eingabe!$J$57)^D82,-(Eingabe!$L$58)*(1+Eingabe!$J$57)^D82),"")</f>
        <v>0</v>
      </c>
      <c r="G82" s="36">
        <f>IF(A82&lt;=Eingabe!$D$22,G81*(1+Eingabe!$J$59),"")</f>
        <v>0</v>
      </c>
      <c r="H82" s="36">
        <f>IF(A82&lt;=Eingabe!$D$22,(-Eingabe!$L$62*(1+Eingabe!$J$62)^Ergebnis!D82)-(Eingabe!$L$63*(1+Eingabe!$J$63)^Ergebnis!D82)-(Eingabe!$L$64*(1+Eingabe!$J$64)^Ergebnis!D82),"")</f>
        <v>-1288.631124</v>
      </c>
      <c r="I82" s="38">
        <f>IF(A82&lt;=Eingabe!$D$22,(+Eingabe!$D$68)*(1+Eingabe!$J$68)^D82,"")</f>
        <v>0</v>
      </c>
      <c r="J82" s="75">
        <f>IF(B82&lt;=Eingabe!$D$22,(Eingabe!$L$19)*(1+Eingabe!$J$68)^D82,"")</f>
        <v>6120.6</v>
      </c>
      <c r="K82" s="81">
        <f>IF(D82&lt;=Eingabe!$D$22,IF(D82=Eingabe!$D$53,(Eingabe!$L$52*Eingabe!$I$52)*(1+Eingabe!$J$52)^Ergebnis!D82,IF(D82=Eingabe!$D$54,(Eingabe!$L$53*Eingabe!$I$53)*(1+Eingabe!$J$53)^Ergebnis!D82,IF(D82=Eingabe!$D$55,(Eingabe!$L$54*Eingabe!$I$54)*(1+Eingabe!$J$54)^Ergebnis!D82,IF(D82=Eingabe!$D$56,(Eingabe!$L$55*Eingabe!$I$55)*(1+Eingabe!$J$55)^Ergebnis!D82,0)))),"")</f>
        <v>0</v>
      </c>
      <c r="L82" s="2">
        <f>IF(A82&lt;=Eingabe!$D$22,SUM(E82:K82),"")</f>
        <v>4831.9688760000008</v>
      </c>
      <c r="M82" s="62">
        <f>IF(A82&lt;=Eingabe!$D$22,L82/(1+Eingabe!$D$23)^D82,"")</f>
        <v>4467.4268454142011</v>
      </c>
      <c r="N82" s="32">
        <f>IF(A82&lt;=Eingabe!$D$22,N81+M82,"")</f>
        <v>-55977.996231508878</v>
      </c>
      <c r="O82" s="25"/>
    </row>
    <row r="83" spans="1:15" x14ac:dyDescent="0.25">
      <c r="A83" s="39">
        <v>3</v>
      </c>
      <c r="B83" s="26"/>
      <c r="C83" s="61">
        <f>IF(A83&lt;=Eingabe!$D$22,C82+1,"")</f>
        <v>2021</v>
      </c>
      <c r="D83" s="57">
        <f>IF(A83&lt;=Eingabe!$D$22,D82+1,"")</f>
        <v>3</v>
      </c>
      <c r="E83" s="80">
        <f>IF(A83&lt;=Eingabe!$D$22,IF(D83=Eingabe!$D$53,-Eingabe!$L$53*(1+Eingabe!$J$52)^D83,IF(D83=Eingabe!$D$54,-Eingabe!$L$54*(1+Eingabe!$J$53)^D83,IF(D83=Eingabe!$D$55,-Eingabe!$L$55*(1+Eingabe!$J$54)^D83,0))),"")</f>
        <v>0</v>
      </c>
      <c r="F83" s="63">
        <f>IF(A83&lt;=Eingabe!$D$22,IF(D83=Eingabe!$D$59,-(Eingabe!$L$58+Eingabe!$L$59)*(1+Eingabe!$J$57)^D83,-(Eingabe!$L$58)*(1+Eingabe!$J$57)^D83),"")</f>
        <v>0</v>
      </c>
      <c r="G83" s="65">
        <f>IF(A83&lt;=Eingabe!$D$22,G82*(1+Eingabe!$J$59),"")</f>
        <v>0</v>
      </c>
      <c r="H83" s="65">
        <f>IF(A83&lt;=Eingabe!$D$22,(-Eingabe!$L$62*(1+Eingabe!$J$62)^Ergebnis!D83)-(Eingabe!$L$63*(1+Eingabe!$J$63)^Ergebnis!D83)-(Eingabe!$L$64*(1+Eingabe!$J$64)^Ergebnis!D83),"")</f>
        <v>-1301.5174352399999</v>
      </c>
      <c r="I83" s="72">
        <f>IF(A83&lt;=Eingabe!$D$22,(+Eingabe!$D$68)*(1+Eingabe!$J$68)^D83,"")</f>
        <v>0</v>
      </c>
      <c r="J83" s="75">
        <f>IF(B83&lt;=Eingabe!$D$22,(Eingabe!$L$19)*(1+Eingabe!$J$68)^D83,"")</f>
        <v>6181.8059999999996</v>
      </c>
      <c r="K83" s="81">
        <f>IF(D83&lt;=Eingabe!$D$22,IF(D83=Eingabe!$D$53,(Eingabe!$L$52*Eingabe!$I$52)*(1+Eingabe!$J$52)^Ergebnis!D83,IF(D83=Eingabe!$D$54,(Eingabe!$L$53*Eingabe!$I$53)*(1+Eingabe!$J$53)^Ergebnis!D83,IF(D83=Eingabe!$D$55,(Eingabe!$L$54*Eingabe!$I$54)*(1+Eingabe!$J$54)^Ergebnis!D83,IF(D83=Eingabe!$D$56,(Eingabe!$L$55*Eingabe!$I$55)*(1+Eingabe!$J$55)^Ergebnis!D83,0)))),"")</f>
        <v>0</v>
      </c>
      <c r="L83" s="58">
        <f>IF(A83&lt;=Eingabe!$D$22,SUM(E83:K83),"")</f>
        <v>4880.2885647599996</v>
      </c>
      <c r="M83" s="62">
        <f>IF(A83&lt;=Eingabe!$D$22,L83/(1+Eingabe!$D$23)^D83,"")</f>
        <v>4338.5587633349451</v>
      </c>
      <c r="N83" s="62">
        <f>IF(A83&lt;=Eingabe!$D$22,N82+M83,"")</f>
        <v>-51639.437468173935</v>
      </c>
      <c r="O83" s="25"/>
    </row>
    <row r="84" spans="1:15" x14ac:dyDescent="0.25">
      <c r="A84" s="39">
        <v>4</v>
      </c>
      <c r="B84" s="26"/>
      <c r="C84" s="61">
        <f>IF(A84&lt;=Eingabe!$D$22,C83+1,"")</f>
        <v>2022</v>
      </c>
      <c r="D84" s="57">
        <f>IF(A84&lt;=Eingabe!$D$22,D83+1,"")</f>
        <v>4</v>
      </c>
      <c r="E84" s="80">
        <f>IF(A84&lt;=Eingabe!$D$22,IF(D84=Eingabe!$D$53,-Eingabe!$L$53*(1+Eingabe!$J$52)^D84,IF(D84=Eingabe!$D$54,-Eingabe!$L$54*(1+Eingabe!$J$53)^D84,IF(D84=Eingabe!$D$55,-Eingabe!$L$55*(1+Eingabe!$J$54)^D84,0))),"")</f>
        <v>0</v>
      </c>
      <c r="F84" s="63">
        <f>IF(A84&lt;=Eingabe!$D$22,IF(D84=Eingabe!$D$59,-(Eingabe!$L$58+Eingabe!$L$59)*(1+Eingabe!$J$57)^D84,-(Eingabe!$L$58)*(1+Eingabe!$J$57)^D84),"")</f>
        <v>0</v>
      </c>
      <c r="G84" s="65">
        <f>IF(A84&lt;=Eingabe!$D$22,G83*(1+Eingabe!$J$59),"")</f>
        <v>0</v>
      </c>
      <c r="H84" s="65">
        <f>IF(A84&lt;=Eingabe!$D$22,(-Eingabe!$L$62*(1+Eingabe!$J$62)^Ergebnis!D84)-(Eingabe!$L$63*(1+Eingabe!$J$63)^Ergebnis!D84)-(Eingabe!$L$64*(1+Eingabe!$J$64)^Ergebnis!D84),"")</f>
        <v>-1314.5326095924001</v>
      </c>
      <c r="I84" s="72">
        <f>IF(A84&lt;=Eingabe!$D$22,(+Eingabe!$D$68)*(1+Eingabe!$J$68)^D84,"")</f>
        <v>0</v>
      </c>
      <c r="J84" s="75">
        <f>IF(B84&lt;=Eingabe!$D$22,(Eingabe!$L$19)*(1+Eingabe!$J$68)^D84,"")</f>
        <v>6243.6240600000001</v>
      </c>
      <c r="K84" s="81">
        <f>IF(D84&lt;=Eingabe!$D$22,IF(D84=Eingabe!$D$53,(Eingabe!$L$52*Eingabe!$I$52)*(1+Eingabe!$J$52)^Ergebnis!D84,IF(D84=Eingabe!$D$54,(Eingabe!$L$53*Eingabe!$I$53)*(1+Eingabe!$J$53)^Ergebnis!D84,IF(D84=Eingabe!$D$55,(Eingabe!$L$54*Eingabe!$I$54)*(1+Eingabe!$J$54)^Ergebnis!D84,IF(D84=Eingabe!$D$56,(Eingabe!$L$55*Eingabe!$I$55)*(1+Eingabe!$J$55)^Ergebnis!D84,0)))),"")</f>
        <v>0</v>
      </c>
      <c r="L84" s="58">
        <f>IF(A84&lt;=Eingabe!$D$22,SUM(E84:K84),"")</f>
        <v>4929.0914504076</v>
      </c>
      <c r="M84" s="62">
        <f>IF(A84&lt;=Eingabe!$D$22,L84/(1+Eingabe!$D$23)^D84,"")</f>
        <v>4213.4080297772061</v>
      </c>
      <c r="N84" s="62">
        <f>IF(A84&lt;=Eingabe!$D$22,N83+M84,"")</f>
        <v>-47426.029438396727</v>
      </c>
      <c r="O84" s="25"/>
    </row>
    <row r="85" spans="1:15" x14ac:dyDescent="0.25">
      <c r="A85" s="39">
        <v>5</v>
      </c>
      <c r="B85" s="26"/>
      <c r="C85" s="61">
        <f>IF(A85&lt;=Eingabe!$D$22,C84+1,"")</f>
        <v>2023</v>
      </c>
      <c r="D85" s="57">
        <f>IF(A85&lt;=Eingabe!$D$22,D84+1,"")</f>
        <v>5</v>
      </c>
      <c r="E85" s="80">
        <f>IF(A85&lt;=Eingabe!$D$22,IF(D85=Eingabe!$D$53,-Eingabe!$L$53*(1+Eingabe!$J$52)^D85,IF(D85=Eingabe!$D$54,-Eingabe!$L$54*(1+Eingabe!$J$53)^D85,IF(D85=Eingabe!$D$55,-Eingabe!$L$55*(1+Eingabe!$J$54)^D85,0))),"")</f>
        <v>0</v>
      </c>
      <c r="F85" s="63">
        <f>IF(A85&lt;=Eingabe!$D$22,IF(D85=Eingabe!$D$59,-(Eingabe!$L$58+Eingabe!$L$59)*(1+Eingabe!$J$57)^D85,-(Eingabe!$L$58)*(1+Eingabe!$J$57)^D85),"")</f>
        <v>0</v>
      </c>
      <c r="G85" s="65">
        <f>IF(A85&lt;=Eingabe!$D$22,G84*(1+Eingabe!$J$59),"")</f>
        <v>0</v>
      </c>
      <c r="H85" s="65">
        <f>IF(A85&lt;=Eingabe!$D$22,(-Eingabe!$L$62*(1+Eingabe!$J$62)^Ergebnis!D85)-(Eingabe!$L$63*(1+Eingabe!$J$63)^Ergebnis!D85)-(Eingabe!$L$64*(1+Eingabe!$J$64)^Ergebnis!D85),"")</f>
        <v>-1327.6779356883239</v>
      </c>
      <c r="I85" s="72">
        <f>IF(A85&lt;=Eingabe!$D$22,(+Eingabe!$D$68)*(1+Eingabe!$J$68)^D85,"")</f>
        <v>0</v>
      </c>
      <c r="J85" s="75">
        <f>IF(B85&lt;=Eingabe!$D$22,(Eingabe!$L$19)*(1+Eingabe!$J$68)^D85,"")</f>
        <v>6306.0603005999992</v>
      </c>
      <c r="K85" s="81">
        <f>IF(D85&lt;=Eingabe!$D$22,IF(D85=Eingabe!$D$53,(Eingabe!$L$52*Eingabe!$I$52)*(1+Eingabe!$J$52)^Ergebnis!D85,IF(D85=Eingabe!$D$54,(Eingabe!$L$53*Eingabe!$I$53)*(1+Eingabe!$J$53)^Ergebnis!D85,IF(D85=Eingabe!$D$55,(Eingabe!$L$54*Eingabe!$I$54)*(1+Eingabe!$J$54)^Ergebnis!D85,IF(D85=Eingabe!$D$56,(Eingabe!$L$55*Eingabe!$I$55)*(1+Eingabe!$J$55)^Ergebnis!D85,0)))),"")</f>
        <v>0</v>
      </c>
      <c r="L85" s="58">
        <f>IF(A85&lt;=Eingabe!$D$22,SUM(E85:K85),"")</f>
        <v>4978.3823649116748</v>
      </c>
      <c r="M85" s="62">
        <f>IF(A85&lt;=Eingabe!$D$22,L85/(1+Eingabe!$D$23)^D85,"")</f>
        <v>4091.867413533631</v>
      </c>
      <c r="N85" s="62">
        <f>IF(A85&lt;=Eingabe!$D$22,N84+M85,"")</f>
        <v>-43334.162024863093</v>
      </c>
      <c r="O85" s="25"/>
    </row>
    <row r="86" spans="1:15" x14ac:dyDescent="0.25">
      <c r="A86" s="39">
        <v>6</v>
      </c>
      <c r="B86" s="26"/>
      <c r="C86" s="61">
        <f>IF(A86&lt;=Eingabe!$D$22,C85+1,"")</f>
        <v>2024</v>
      </c>
      <c r="D86" s="57">
        <f>IF(A86&lt;=Eingabe!$D$22,D85+1,"")</f>
        <v>6</v>
      </c>
      <c r="E86" s="80">
        <f>IF(A86&lt;=Eingabe!$D$22,IF(D86=Eingabe!$D$53,-Eingabe!$L$53*(1+Eingabe!$J$52)^D86,IF(D86=Eingabe!$D$54,-Eingabe!$L$54*(1+Eingabe!$J$53)^D86,IF(D86=Eingabe!$D$55,-Eingabe!$L$55*(1+Eingabe!$J$54)^D86,0))),"")</f>
        <v>0</v>
      </c>
      <c r="F86" s="63">
        <f>IF(A86&lt;=Eingabe!$D$22,IF(D86=Eingabe!$D$59,-(Eingabe!$L$58+Eingabe!$L$59)*(1+Eingabe!$J$57)^D86,-(Eingabe!$L$58)*(1+Eingabe!$J$57)^D86),"")</f>
        <v>0</v>
      </c>
      <c r="G86" s="65">
        <f>IF(A86&lt;=Eingabe!$D$22,G85*(1+Eingabe!$J$59),"")</f>
        <v>0</v>
      </c>
      <c r="H86" s="65">
        <f>IF(A86&lt;=Eingabe!$D$22,(-Eingabe!$L$62*(1+Eingabe!$J$62)^Ergebnis!D86)-(Eingabe!$L$63*(1+Eingabe!$J$63)^Ergebnis!D86)-(Eingabe!$L$64*(1+Eingabe!$J$64)^Ergebnis!D86),"")</f>
        <v>-1340.9547150452074</v>
      </c>
      <c r="I86" s="72">
        <f>IF(A86&lt;=Eingabe!$D$22,(+Eingabe!$D$68)*(1+Eingabe!$J$68)^D86,"")</f>
        <v>0</v>
      </c>
      <c r="J86" s="75">
        <f>IF(B86&lt;=Eingabe!$D$22,(Eingabe!$L$19)*(1+Eingabe!$J$68)^D86,"")</f>
        <v>6369.1209036060009</v>
      </c>
      <c r="K86" s="81">
        <f>IF(D86&lt;=Eingabe!$D$22,IF(D86=Eingabe!$D$53,(Eingabe!$L$52*Eingabe!$I$52)*(1+Eingabe!$J$52)^Ergebnis!D86,IF(D86=Eingabe!$D$54,(Eingabe!$L$53*Eingabe!$I$53)*(1+Eingabe!$J$53)^Ergebnis!D86,IF(D86=Eingabe!$D$55,(Eingabe!$L$54*Eingabe!$I$54)*(1+Eingabe!$J$54)^Ergebnis!D86,IF(D86=Eingabe!$D$56,(Eingabe!$L$55*Eingabe!$I$55)*(1+Eingabe!$J$55)^Ergebnis!D86,0)))),"")</f>
        <v>0</v>
      </c>
      <c r="L86" s="58">
        <f>IF(A86&lt;=Eingabe!$D$22,SUM(E86:K86),"")</f>
        <v>5028.1661885607937</v>
      </c>
      <c r="M86" s="62">
        <f>IF(A86&lt;=Eingabe!$D$22,L86/(1+Eingabe!$D$23)^D86,"")</f>
        <v>3973.8327766047782</v>
      </c>
      <c r="N86" s="62">
        <f>IF(A86&lt;=Eingabe!$D$22,N85+M86,"")</f>
        <v>-39360.329248258313</v>
      </c>
      <c r="O86" s="25"/>
    </row>
    <row r="87" spans="1:15" x14ac:dyDescent="0.25">
      <c r="A87" s="39">
        <v>7</v>
      </c>
      <c r="B87" s="26"/>
      <c r="C87" s="61">
        <f>IF(A87&lt;=Eingabe!$D$22,C86+1,"")</f>
        <v>2025</v>
      </c>
      <c r="D87" s="57">
        <f>IF(A87&lt;=Eingabe!$D$22,D86+1,"")</f>
        <v>7</v>
      </c>
      <c r="E87" s="80">
        <f>IF(A87&lt;=Eingabe!$D$22,IF(D87=Eingabe!$D$53,-Eingabe!$L$53*(1+Eingabe!$J$52)^D87,IF(D87=Eingabe!$D$54,-Eingabe!$L$54*(1+Eingabe!$J$53)^D87,IF(D87=Eingabe!$D$55,-Eingabe!$L$55*(1+Eingabe!$J$54)^D87,0))),"")</f>
        <v>0</v>
      </c>
      <c r="F87" s="63">
        <f>IF(A87&lt;=Eingabe!$D$22,IF(D87=Eingabe!$D$59,-(Eingabe!$L$58+Eingabe!$L$59)*(1+Eingabe!$J$57)^D87,-(Eingabe!$L$58)*(1+Eingabe!$J$57)^D87),"")</f>
        <v>0</v>
      </c>
      <c r="G87" s="65">
        <f>IF(A87&lt;=Eingabe!$D$22,G86*(1+Eingabe!$J$59),"")</f>
        <v>0</v>
      </c>
      <c r="H87" s="65">
        <f>IF(A87&lt;=Eingabe!$D$22,(-Eingabe!$L$62*(1+Eingabe!$J$62)^Ergebnis!D87)-(Eingabe!$L$63*(1+Eingabe!$J$63)^Ergebnis!D87)-(Eingabe!$L$64*(1+Eingabe!$J$64)^Ergebnis!D87),"")</f>
        <v>-1354.3642621956592</v>
      </c>
      <c r="I87" s="72">
        <f>IF(A87&lt;=Eingabe!$D$22,(+Eingabe!$D$68)*(1+Eingabe!$J$68)^D87,"")</f>
        <v>0</v>
      </c>
      <c r="J87" s="75">
        <f>IF(B87&lt;=Eingabe!$D$22,(Eingabe!$L$19)*(1+Eingabe!$J$68)^D87,"")</f>
        <v>6432.8121126420592</v>
      </c>
      <c r="K87" s="81">
        <f>IF(D87&lt;=Eingabe!$D$22,IF(D87=Eingabe!$D$53,(Eingabe!$L$52*Eingabe!$I$52)*(1+Eingabe!$J$52)^Ergebnis!D87,IF(D87=Eingabe!$D$54,(Eingabe!$L$53*Eingabe!$I$53)*(1+Eingabe!$J$53)^Ergebnis!D87,IF(D87=Eingabe!$D$55,(Eingabe!$L$54*Eingabe!$I$54)*(1+Eingabe!$J$54)^Ergebnis!D87,IF(D87=Eingabe!$D$56,(Eingabe!$L$55*Eingabe!$I$55)*(1+Eingabe!$J$55)^Ergebnis!D87,0)))),"")</f>
        <v>0</v>
      </c>
      <c r="L87" s="58">
        <f>IF(A87&lt;=Eingabe!$D$22,SUM(E87:K87),"")</f>
        <v>5078.4478504464005</v>
      </c>
      <c r="M87" s="62">
        <f>IF(A87&lt;=Eingabe!$D$22,L87/(1+Eingabe!$D$23)^D87,"")</f>
        <v>3859.2029849719474</v>
      </c>
      <c r="N87" s="62">
        <f>IF(A87&lt;=Eingabe!$D$22,N86+M87,"")</f>
        <v>-35501.126263286365</v>
      </c>
      <c r="O87" s="25"/>
    </row>
    <row r="88" spans="1:15" x14ac:dyDescent="0.25">
      <c r="A88" s="39">
        <v>8</v>
      </c>
      <c r="B88" s="26"/>
      <c r="C88" s="61">
        <f>IF(A88&lt;=Eingabe!$D$22,C87+1,"")</f>
        <v>2026</v>
      </c>
      <c r="D88" s="57">
        <f>IF(A88&lt;=Eingabe!$D$22,D87+1,"")</f>
        <v>8</v>
      </c>
      <c r="E88" s="80">
        <f>IF(A88&lt;=Eingabe!$D$22,IF(D88=Eingabe!$D$53,-Eingabe!$L$53*(1+Eingabe!$J$52)^D88,IF(D88=Eingabe!$D$54,-Eingabe!$L$54*(1+Eingabe!$J$53)^D88,IF(D88=Eingabe!$D$55,-Eingabe!$L$55*(1+Eingabe!$J$54)^D88,0))),"")</f>
        <v>0</v>
      </c>
      <c r="F88" s="63">
        <f>IF(A88&lt;=Eingabe!$D$22,IF(D88=Eingabe!$D$59,-(Eingabe!$L$58+Eingabe!$L$59)*(1+Eingabe!$J$57)^D88,-(Eingabe!$L$58)*(1+Eingabe!$J$57)^D88),"")</f>
        <v>0</v>
      </c>
      <c r="G88" s="65">
        <f>IF(A88&lt;=Eingabe!$D$22,G87*(1+Eingabe!$J$59),"")</f>
        <v>0</v>
      </c>
      <c r="H88" s="65">
        <f>IF(A88&lt;=Eingabe!$D$22,(-Eingabe!$L$62*(1+Eingabe!$J$62)^Ergebnis!D88)-(Eingabe!$L$63*(1+Eingabe!$J$63)^Ergebnis!D88)-(Eingabe!$L$64*(1+Eingabe!$J$64)^Ergebnis!D88),"")</f>
        <v>-1367.9079048176161</v>
      </c>
      <c r="I88" s="72">
        <f>IF(A88&lt;=Eingabe!$D$22,(+Eingabe!$D$68)*(1+Eingabe!$J$68)^D88,"")</f>
        <v>0</v>
      </c>
      <c r="J88" s="75">
        <f>IF(B88&lt;=Eingabe!$D$22,(Eingabe!$L$19)*(1+Eingabe!$J$68)^D88,"")</f>
        <v>6497.1402337684813</v>
      </c>
      <c r="K88" s="81">
        <f>IF(D88&lt;=Eingabe!$D$22,IF(D88=Eingabe!$D$53,(Eingabe!$L$52*Eingabe!$I$52)*(1+Eingabe!$J$52)^Ergebnis!D88,IF(D88=Eingabe!$D$54,(Eingabe!$L$53*Eingabe!$I$53)*(1+Eingabe!$J$53)^Ergebnis!D88,IF(D88=Eingabe!$D$55,(Eingabe!$L$54*Eingabe!$I$54)*(1+Eingabe!$J$54)^Ergebnis!D88,IF(D88=Eingabe!$D$56,(Eingabe!$L$55*Eingabe!$I$55)*(1+Eingabe!$J$55)^Ergebnis!D88,0)))),"")</f>
        <v>0</v>
      </c>
      <c r="L88" s="58">
        <f>IF(A88&lt;=Eingabe!$D$22,SUM(E88:K88),"")</f>
        <v>5129.2323289508649</v>
      </c>
      <c r="M88" s="62">
        <f>IF(A88&lt;=Eingabe!$D$22,L88/(1+Eingabe!$D$23)^D88,"")</f>
        <v>3747.87982194391</v>
      </c>
      <c r="N88" s="62">
        <f>IF(A88&lt;=Eingabe!$D$22,N87+M88,"")</f>
        <v>-31753.246441342457</v>
      </c>
      <c r="O88" s="25"/>
    </row>
    <row r="89" spans="1:15" x14ac:dyDescent="0.25">
      <c r="A89" s="39">
        <v>9</v>
      </c>
      <c r="B89" s="26"/>
      <c r="C89" s="61">
        <f>IF(A89&lt;=Eingabe!$D$22,C88+1,"")</f>
        <v>2027</v>
      </c>
      <c r="D89" s="57">
        <f>IF(A89&lt;=Eingabe!$D$22,D88+1,"")</f>
        <v>9</v>
      </c>
      <c r="E89" s="80">
        <f>IF(A89&lt;=Eingabe!$D$22,IF(D89=Eingabe!$D$53,-Eingabe!$L$53*(1+Eingabe!$J$52)^D89,IF(D89=Eingabe!$D$54,-Eingabe!$L$54*(1+Eingabe!$J$53)^D89,IF(D89=Eingabe!$D$55,-Eingabe!$L$55*(1+Eingabe!$J$54)^D89,0))),"")</f>
        <v>0</v>
      </c>
      <c r="F89" s="63">
        <f>IF(A89&lt;=Eingabe!$D$22,IF(D89=Eingabe!$D$59,-(Eingabe!$L$58+Eingabe!$L$59)*(1+Eingabe!$J$57)^D89,-(Eingabe!$L$58)*(1+Eingabe!$J$57)^D89),"")</f>
        <v>0</v>
      </c>
      <c r="G89" s="65">
        <f>IF(A89&lt;=Eingabe!$D$22,G88*(1+Eingabe!$J$59),"")</f>
        <v>0</v>
      </c>
      <c r="H89" s="65">
        <f>IF(A89&lt;=Eingabe!$D$22,(-Eingabe!$L$62*(1+Eingabe!$J$62)^Ergebnis!D89)-(Eingabe!$L$63*(1+Eingabe!$J$63)^Ergebnis!D89)-(Eingabe!$L$64*(1+Eingabe!$J$64)^Ergebnis!D89),"")</f>
        <v>-1381.5869838657923</v>
      </c>
      <c r="I89" s="72">
        <f>IF(A89&lt;=Eingabe!$D$22,(+Eingabe!$D$68)*(1+Eingabe!$J$68)^D89,"")</f>
        <v>0</v>
      </c>
      <c r="J89" s="75">
        <f>IF(B89&lt;=Eingabe!$D$22,(Eingabe!$L$19)*(1+Eingabe!$J$68)^D89,"")</f>
        <v>6562.1116361061668</v>
      </c>
      <c r="K89" s="81">
        <f>IF(D89&lt;=Eingabe!$D$22,IF(D89=Eingabe!$D$53,(Eingabe!$L$52*Eingabe!$I$52)*(1+Eingabe!$J$52)^Ergebnis!D89,IF(D89=Eingabe!$D$54,(Eingabe!$L$53*Eingabe!$I$53)*(1+Eingabe!$J$53)^Ergebnis!D89,IF(D89=Eingabe!$D$55,(Eingabe!$L$54*Eingabe!$I$54)*(1+Eingabe!$J$54)^Ergebnis!D89,IF(D89=Eingabe!$D$56,(Eingabe!$L$55*Eingabe!$I$55)*(1+Eingabe!$J$55)^Ergebnis!D89,0)))),"")</f>
        <v>0</v>
      </c>
      <c r="L89" s="58">
        <f>IF(A89&lt;=Eingabe!$D$22,SUM(E89:K89),"")</f>
        <v>5180.5246522403741</v>
      </c>
      <c r="M89" s="62">
        <f>IF(A89&lt;=Eingabe!$D$22,L89/(1+Eingabe!$D$23)^D89,"")</f>
        <v>3639.7679040032203</v>
      </c>
      <c r="N89" s="62">
        <f>IF(A89&lt;=Eingabe!$D$22,N88+M89,"")</f>
        <v>-28113.478537339237</v>
      </c>
      <c r="O89" s="25"/>
    </row>
    <row r="90" spans="1:15" x14ac:dyDescent="0.25">
      <c r="A90" s="39">
        <v>10</v>
      </c>
      <c r="B90" s="26"/>
      <c r="C90" s="61">
        <f>IF(A90&lt;=Eingabe!$D$22,C89+1,"")</f>
        <v>2028</v>
      </c>
      <c r="D90" s="57">
        <f>IF(A90&lt;=Eingabe!$D$22,D89+1,"")</f>
        <v>10</v>
      </c>
      <c r="E90" s="80">
        <f>IF(A90&lt;=Eingabe!$D$22,IF(D90=Eingabe!$D$53,-Eingabe!$L$53*(1+Eingabe!$J$52)^D90,IF(D90=Eingabe!$D$54,-Eingabe!$L$54*(1+Eingabe!$J$53)^D90,IF(D90=Eingabe!$D$55,-Eingabe!$L$55*(1+Eingabe!$J$54)^D90,0))),"")</f>
        <v>0</v>
      </c>
      <c r="F90" s="63">
        <f>IF(A90&lt;=Eingabe!$D$22,IF(D90=Eingabe!$D$59,-(Eingabe!$L$58+Eingabe!$L$59)*(1+Eingabe!$J$57)^D90,-(Eingabe!$L$58)*(1+Eingabe!$J$57)^D90),"")</f>
        <v>0</v>
      </c>
      <c r="G90" s="65">
        <f>IF(A90&lt;=Eingabe!$D$22,G89*(1+Eingabe!$J$59),"")</f>
        <v>0</v>
      </c>
      <c r="H90" s="65">
        <f>IF(A90&lt;=Eingabe!$D$22,(-Eingabe!$L$62*(1+Eingabe!$J$62)^Ergebnis!D90)-(Eingabe!$L$63*(1+Eingabe!$J$63)^Ergebnis!D90)-(Eingabe!$L$64*(1+Eingabe!$J$64)^Ergebnis!D90),"")</f>
        <v>-1395.4028537044503</v>
      </c>
      <c r="I90" s="72">
        <f>IF(A90&lt;=Eingabe!$D$22,(+Eingabe!$D$68)*(1+Eingabe!$J$68)^D90,"")</f>
        <v>0</v>
      </c>
      <c r="J90" s="75">
        <f>IF(B90&lt;=Eingabe!$D$22,(Eingabe!$L$19)*(1+Eingabe!$J$68)^D90,"")</f>
        <v>6627.7327524672282</v>
      </c>
      <c r="K90" s="81">
        <f>IF(D90&lt;=Eingabe!$D$22,IF(D90=Eingabe!$D$53,(Eingabe!$L$52*Eingabe!$I$52)*(1+Eingabe!$J$52)^Ergebnis!D90,IF(D90=Eingabe!$D$54,(Eingabe!$L$53*Eingabe!$I$53)*(1+Eingabe!$J$53)^Ergebnis!D90,IF(D90=Eingabe!$D$55,(Eingabe!$L$54*Eingabe!$I$54)*(1+Eingabe!$J$54)^Ergebnis!D90,IF(D90=Eingabe!$D$56,(Eingabe!$L$55*Eingabe!$I$55)*(1+Eingabe!$J$55)^Ergebnis!D90,0)))),"")</f>
        <v>0</v>
      </c>
      <c r="L90" s="58">
        <f>IF(A90&lt;=Eingabe!$D$22,SUM(E90:K90),"")</f>
        <v>5232.3298987627777</v>
      </c>
      <c r="M90" s="62">
        <f>IF(A90&lt;=Eingabe!$D$22,L90/(1+Eingabe!$D$23)^D90,"")</f>
        <v>3534.7745990800504</v>
      </c>
      <c r="N90" s="62">
        <f>IF(A90&lt;=Eingabe!$D$22,N89+M90,"")</f>
        <v>-24578.703938259187</v>
      </c>
      <c r="O90" s="25"/>
    </row>
    <row r="91" spans="1:15" x14ac:dyDescent="0.25">
      <c r="A91" s="39">
        <v>11</v>
      </c>
      <c r="B91" s="26"/>
      <c r="C91" s="61">
        <f>IF(A91&lt;=Eingabe!$D$22,C90+1,"")</f>
        <v>2029</v>
      </c>
      <c r="D91" s="57">
        <f>IF(A91&lt;=Eingabe!$D$22,D90+1,"")</f>
        <v>11</v>
      </c>
      <c r="E91" s="80">
        <f>IF(A91&lt;=Eingabe!$D$22,IF(D91=Eingabe!$D$53,-Eingabe!$L$53*(1+Eingabe!$J$52)^D91,IF(D91=Eingabe!$D$54,-Eingabe!$L$54*(1+Eingabe!$J$53)^D91,IF(D91=Eingabe!$D$55,-Eingabe!$L$55*(1+Eingabe!$J$54)^D91,0))),"")</f>
        <v>0</v>
      </c>
      <c r="F91" s="63">
        <f>IF(A91&lt;=Eingabe!$D$22,IF(D91=Eingabe!$D$59,-(Eingabe!$L$58+Eingabe!$L$59)*(1+Eingabe!$J$57)^D91,-(Eingabe!$L$58)*(1+Eingabe!$J$57)^D91),"")</f>
        <v>0</v>
      </c>
      <c r="G91" s="65">
        <f>IF(A91&lt;=Eingabe!$D$22,G90*(1+Eingabe!$J$59),"")</f>
        <v>0</v>
      </c>
      <c r="H91" s="65">
        <f>IF(A91&lt;=Eingabe!$D$22,(-Eingabe!$L$62*(1+Eingabe!$J$62)^Ergebnis!D91)-(Eingabe!$L$63*(1+Eingabe!$J$63)^Ergebnis!D91)-(Eingabe!$L$64*(1+Eingabe!$J$64)^Ergebnis!D91),"")</f>
        <v>-1409.3568822414945</v>
      </c>
      <c r="I91" s="72">
        <f>IF(A91&lt;=Eingabe!$D$22,(+Eingabe!$D$68)*(1+Eingabe!$J$68)^D91,"")</f>
        <v>0</v>
      </c>
      <c r="J91" s="75">
        <f>IF(B91&lt;=Eingabe!$D$22,(Eingabe!$L$19)*(1+Eingabe!$J$68)^D91,"")</f>
        <v>6694.0100799918991</v>
      </c>
      <c r="K91" s="81">
        <f>IF(D91&lt;=Eingabe!$D$22,IF(D91=Eingabe!$D$53,(Eingabe!$L$52*Eingabe!$I$52)*(1+Eingabe!$J$52)^Ergebnis!D91,IF(D91=Eingabe!$D$54,(Eingabe!$L$53*Eingabe!$I$53)*(1+Eingabe!$J$53)^Ergebnis!D91,IF(D91=Eingabe!$D$55,(Eingabe!$L$54*Eingabe!$I$54)*(1+Eingabe!$J$54)^Ergebnis!D91,IF(D91=Eingabe!$D$56,(Eingabe!$L$55*Eingabe!$I$55)*(1+Eingabe!$J$55)^Ergebnis!D91,0)))),"")</f>
        <v>0</v>
      </c>
      <c r="L91" s="58">
        <f>IF(A91&lt;=Eingabe!$D$22,SUM(E91:K91),"")</f>
        <v>5284.6531977504046</v>
      </c>
      <c r="M91" s="62">
        <f>IF(A91&lt;=Eingabe!$D$22,L91/(1+Eingabe!$D$23)^D91,"")</f>
        <v>3432.8099471835103</v>
      </c>
      <c r="N91" s="62">
        <f>IF(A91&lt;=Eingabe!$D$22,N90+M91,"")</f>
        <v>-21145.893991075674</v>
      </c>
      <c r="O91" s="25"/>
    </row>
    <row r="92" spans="1:15" x14ac:dyDescent="0.25">
      <c r="A92" s="39">
        <v>12</v>
      </c>
      <c r="B92" s="26"/>
      <c r="C92" s="61">
        <f>IF(A92&lt;=Eingabe!$D$22,C91+1,"")</f>
        <v>2030</v>
      </c>
      <c r="D92" s="57">
        <f>IF(A92&lt;=Eingabe!$D$22,D91+1,"")</f>
        <v>12</v>
      </c>
      <c r="E92" s="80">
        <f>IF(A92&lt;=Eingabe!$D$22,IF(D92=Eingabe!$D$53,-Eingabe!$L$53*(1+Eingabe!$J$52)^D92,IF(D92=Eingabe!$D$54,-Eingabe!$L$54*(1+Eingabe!$J$53)^D92,IF(D92=Eingabe!$D$55,-Eingabe!$L$55*(1+Eingabe!$J$54)^D92,0))),"")</f>
        <v>0</v>
      </c>
      <c r="F92" s="63">
        <f>IF(A92&lt;=Eingabe!$D$22,IF(D92=Eingabe!$D$59,-(Eingabe!$L$58+Eingabe!$L$59)*(1+Eingabe!$J$57)^D92,-(Eingabe!$L$58)*(1+Eingabe!$J$57)^D92),"")</f>
        <v>0</v>
      </c>
      <c r="G92" s="65">
        <f>IF(A92&lt;=Eingabe!$D$22,G91*(1+Eingabe!$J$59),"")</f>
        <v>0</v>
      </c>
      <c r="H92" s="65">
        <f>IF(A92&lt;=Eingabe!$D$22,(-Eingabe!$L$62*(1+Eingabe!$J$62)^Ergebnis!D92)-(Eingabe!$L$63*(1+Eingabe!$J$63)^Ergebnis!D92)-(Eingabe!$L$64*(1+Eingabe!$J$64)^Ergebnis!D92),"")</f>
        <v>-1423.4504510639094</v>
      </c>
      <c r="I92" s="72">
        <f>IF(A92&lt;=Eingabe!$D$22,(+Eingabe!$D$68)*(1+Eingabe!$J$68)^D92,"")</f>
        <v>0</v>
      </c>
      <c r="J92" s="75">
        <f>IF(B92&lt;=Eingabe!$D$22,(Eingabe!$L$19)*(1+Eingabe!$J$68)^D92,"")</f>
        <v>6760.9501807918186</v>
      </c>
      <c r="K92" s="81">
        <f>IF(D92&lt;=Eingabe!$D$22,IF(D92=Eingabe!$D$53,(Eingabe!$L$52*Eingabe!$I$52)*(1+Eingabe!$J$52)^Ergebnis!D92,IF(D92=Eingabe!$D$54,(Eingabe!$L$53*Eingabe!$I$53)*(1+Eingabe!$J$53)^Ergebnis!D92,IF(D92=Eingabe!$D$55,(Eingabe!$L$54*Eingabe!$I$54)*(1+Eingabe!$J$54)^Ergebnis!D92,IF(D92=Eingabe!$D$56,(Eingabe!$L$55*Eingabe!$I$55)*(1+Eingabe!$J$55)^Ergebnis!D92,0)))),"")</f>
        <v>0</v>
      </c>
      <c r="L92" s="58">
        <f>IF(A92&lt;=Eingabe!$D$22,SUM(E92:K92),"")</f>
        <v>5337.4997297279097</v>
      </c>
      <c r="M92" s="62">
        <f>IF(A92&lt;=Eingabe!$D$22,L92/(1+Eingabe!$D$23)^D92,"")</f>
        <v>3333.7865833224473</v>
      </c>
      <c r="N92" s="62">
        <f>IF(A92&lt;=Eingabe!$D$22,N91+M92,"")</f>
        <v>-17812.107407753228</v>
      </c>
      <c r="O92" s="25"/>
    </row>
    <row r="93" spans="1:15" x14ac:dyDescent="0.25">
      <c r="A93" s="39">
        <v>13</v>
      </c>
      <c r="B93" s="26"/>
      <c r="C93" s="61">
        <f>IF(A93&lt;=Eingabe!$D$22,C92+1,"")</f>
        <v>2031</v>
      </c>
      <c r="D93" s="57">
        <f>IF(A93&lt;=Eingabe!$D$22,D92+1,"")</f>
        <v>13</v>
      </c>
      <c r="E93" s="80">
        <f>IF(A93&lt;=Eingabe!$D$22,IF(D93=Eingabe!$D$53,-Eingabe!$L$53*(1+Eingabe!$J$52)^D93,IF(D93=Eingabe!$D$54,-Eingabe!$L$54*(1+Eingabe!$J$53)^D93,IF(D93=Eingabe!$D$55,-Eingabe!$L$55*(1+Eingabe!$J$54)^D93,0))),"")</f>
        <v>0</v>
      </c>
      <c r="F93" s="63">
        <f>IF(A93&lt;=Eingabe!$D$22,IF(D93=Eingabe!$D$59,-(Eingabe!$L$58+Eingabe!$L$59)*(1+Eingabe!$J$57)^D93,-(Eingabe!$L$58)*(1+Eingabe!$J$57)^D93),"")</f>
        <v>0</v>
      </c>
      <c r="G93" s="65">
        <f>IF(A93&lt;=Eingabe!$D$22,G92*(1+Eingabe!$J$59),"")</f>
        <v>0</v>
      </c>
      <c r="H93" s="65">
        <f>IF(A93&lt;=Eingabe!$D$22,(-Eingabe!$L$62*(1+Eingabe!$J$62)^Ergebnis!D93)-(Eingabe!$L$63*(1+Eingabe!$J$63)^Ergebnis!D93)-(Eingabe!$L$64*(1+Eingabe!$J$64)^Ergebnis!D93),"")</f>
        <v>-1437.6849555745487</v>
      </c>
      <c r="I93" s="72">
        <f>IF(A93&lt;=Eingabe!$D$22,(+Eingabe!$D$68)*(1+Eingabe!$J$68)^D93,"")</f>
        <v>0</v>
      </c>
      <c r="J93" s="75">
        <f>IF(B93&lt;=Eingabe!$D$22,(Eingabe!$L$19)*(1+Eingabe!$J$68)^D93,"")</f>
        <v>6828.5596825997372</v>
      </c>
      <c r="K93" s="81">
        <f>IF(D93&lt;=Eingabe!$D$22,IF(D93=Eingabe!$D$53,(Eingabe!$L$52*Eingabe!$I$52)*(1+Eingabe!$J$52)^Ergebnis!D93,IF(D93=Eingabe!$D$54,(Eingabe!$L$53*Eingabe!$I$53)*(1+Eingabe!$J$53)^Ergebnis!D93,IF(D93=Eingabe!$D$55,(Eingabe!$L$54*Eingabe!$I$54)*(1+Eingabe!$J$54)^Ergebnis!D93,IF(D93=Eingabe!$D$56,(Eingabe!$L$55*Eingabe!$I$55)*(1+Eingabe!$J$55)^Ergebnis!D93,0)))),"")</f>
        <v>0</v>
      </c>
      <c r="L93" s="58">
        <f>IF(A93&lt;=Eingabe!$D$22,SUM(E93:K93),"")</f>
        <v>5390.8747270251888</v>
      </c>
      <c r="M93" s="62">
        <f>IF(A93&lt;=Eingabe!$D$22,L93/(1+Eingabe!$D$23)^D93,"")</f>
        <v>3237.6196626496844</v>
      </c>
      <c r="N93" s="62">
        <f>IF(A93&lt;=Eingabe!$D$22,N92+M93,"")</f>
        <v>-14574.487745103545</v>
      </c>
      <c r="O93" s="25"/>
    </row>
    <row r="94" spans="1:15" x14ac:dyDescent="0.25">
      <c r="A94" s="39">
        <v>14</v>
      </c>
      <c r="B94" s="26"/>
      <c r="C94" s="61">
        <f>IF(A94&lt;=Eingabe!$D$22,C93+1,"")</f>
        <v>2032</v>
      </c>
      <c r="D94" s="57">
        <f>IF(A94&lt;=Eingabe!$D$22,D93+1,"")</f>
        <v>14</v>
      </c>
      <c r="E94" s="80">
        <f>IF(A94&lt;=Eingabe!$D$22,IF(D94=Eingabe!$D$53,-Eingabe!$L$53*(1+Eingabe!$J$52)^D94,IF(D94=Eingabe!$D$54,-Eingabe!$L$54*(1+Eingabe!$J$53)^D94,IF(D94=Eingabe!$D$55,-Eingabe!$L$55*(1+Eingabe!$J$54)^D94,0))),"")</f>
        <v>0</v>
      </c>
      <c r="F94" s="63">
        <f>IF(A94&lt;=Eingabe!$D$22,IF(D94=Eingabe!$D$59,-(Eingabe!$L$58+Eingabe!$L$59)*(1+Eingabe!$J$57)^D94,-(Eingabe!$L$58)*(1+Eingabe!$J$57)^D94),"")</f>
        <v>0</v>
      </c>
      <c r="G94" s="65">
        <f>IF(A94&lt;=Eingabe!$D$22,G93*(1+Eingabe!$J$59),"")</f>
        <v>0</v>
      </c>
      <c r="H94" s="65">
        <f>IF(A94&lt;=Eingabe!$D$22,(-Eingabe!$L$62*(1+Eingabe!$J$62)^Ergebnis!D94)-(Eingabe!$L$63*(1+Eingabe!$J$63)^Ergebnis!D94)-(Eingabe!$L$64*(1+Eingabe!$J$64)^Ergebnis!D94),"")</f>
        <v>-1452.0618051302943</v>
      </c>
      <c r="I94" s="72">
        <f>IF(A94&lt;=Eingabe!$D$22,(+Eingabe!$D$68)*(1+Eingabe!$J$68)^D94,"")</f>
        <v>0</v>
      </c>
      <c r="J94" s="75">
        <f>IF(B94&lt;=Eingabe!$D$22,(Eingabe!$L$19)*(1+Eingabe!$J$68)^D94,"")</f>
        <v>6896.8452794257355</v>
      </c>
      <c r="K94" s="81">
        <f>IF(D94&lt;=Eingabe!$D$22,IF(D94=Eingabe!$D$53,(Eingabe!$L$52*Eingabe!$I$52)*(1+Eingabe!$J$52)^Ergebnis!D94,IF(D94=Eingabe!$D$54,(Eingabe!$L$53*Eingabe!$I$53)*(1+Eingabe!$J$53)^Ergebnis!D94,IF(D94=Eingabe!$D$55,(Eingabe!$L$54*Eingabe!$I$54)*(1+Eingabe!$J$54)^Ergebnis!D94,IF(D94=Eingabe!$D$56,(Eingabe!$L$55*Eingabe!$I$55)*(1+Eingabe!$J$55)^Ergebnis!D94,0)))),"")</f>
        <v>0</v>
      </c>
      <c r="L94" s="58">
        <f>IF(A94&lt;=Eingabe!$D$22,SUM(E94:K94),"")</f>
        <v>5444.783474295441</v>
      </c>
      <c r="M94" s="62">
        <f>IF(A94&lt;=Eingabe!$D$22,L94/(1+Eingabe!$D$23)^D94,"")</f>
        <v>3144.226787765559</v>
      </c>
      <c r="N94" s="62">
        <f>IF(A94&lt;=Eingabe!$D$22,N93+M94,"")</f>
        <v>-11430.260957337985</v>
      </c>
      <c r="O94" s="25"/>
    </row>
    <row r="95" spans="1:15" x14ac:dyDescent="0.25">
      <c r="A95" s="39">
        <v>15</v>
      </c>
      <c r="B95" s="26"/>
      <c r="C95" s="61">
        <f>IF(A95&lt;=Eingabe!$D$22,C94+1,"")</f>
        <v>2033</v>
      </c>
      <c r="D95" s="57">
        <f>IF(A95&lt;=Eingabe!$D$22,D94+1,"")</f>
        <v>15</v>
      </c>
      <c r="E95" s="80">
        <f>IF(A95&lt;=Eingabe!$D$22,IF(D95=Eingabe!$D$53,-Eingabe!$L$53*(1+Eingabe!$J$52)^D95,IF(D95=Eingabe!$D$54,-Eingabe!$L$54*(1+Eingabe!$J$53)^D95,IF(D95=Eingabe!$D$55,-Eingabe!$L$55*(1+Eingabe!$J$54)^D95,0))),"")</f>
        <v>0</v>
      </c>
      <c r="F95" s="63">
        <f>IF(A95&lt;=Eingabe!$D$22,IF(D95=Eingabe!$D$59,-(Eingabe!$L$58+Eingabe!$L$59)*(1+Eingabe!$J$57)^D95,-(Eingabe!$L$58)*(1+Eingabe!$J$57)^D95),"")</f>
        <v>0</v>
      </c>
      <c r="G95" s="65">
        <f>IF(A95&lt;=Eingabe!$D$22,G94*(1+Eingabe!$J$59),"")</f>
        <v>0</v>
      </c>
      <c r="H95" s="65">
        <f>IF(A95&lt;=Eingabe!$D$22,(-Eingabe!$L$62*(1+Eingabe!$J$62)^Ergebnis!D95)-(Eingabe!$L$63*(1+Eingabe!$J$63)^Ergebnis!D95)-(Eingabe!$L$64*(1+Eingabe!$J$64)^Ergebnis!D95),"")</f>
        <v>-1466.5824231815968</v>
      </c>
      <c r="I95" s="72">
        <f>IF(A95&lt;=Eingabe!$D$22,(+Eingabe!$D$68)*(1+Eingabe!$J$68)^D95,"")</f>
        <v>0</v>
      </c>
      <c r="J95" s="75">
        <f>IF(B95&lt;=Eingabe!$D$22,(Eingabe!$L$19)*(1+Eingabe!$J$68)^D95,"")</f>
        <v>6965.8137322199909</v>
      </c>
      <c r="K95" s="81">
        <f>IF(D95&lt;=Eingabe!$D$22,IF(D95=Eingabe!$D$53,(Eingabe!$L$52*Eingabe!$I$52)*(1+Eingabe!$J$52)^Ergebnis!D95,IF(D95=Eingabe!$D$54,(Eingabe!$L$53*Eingabe!$I$53)*(1+Eingabe!$J$53)^Ergebnis!D95,IF(D95=Eingabe!$D$55,(Eingabe!$L$54*Eingabe!$I$54)*(1+Eingabe!$J$54)^Ergebnis!D95,IF(D95=Eingabe!$D$56,(Eingabe!$L$55*Eingabe!$I$55)*(1+Eingabe!$J$55)^Ergebnis!D95,0)))),"")</f>
        <v>0</v>
      </c>
      <c r="L95" s="58">
        <f>IF(A95&lt;=Eingabe!$D$22,SUM(E95:K95),"")</f>
        <v>5499.2313090383941</v>
      </c>
      <c r="M95" s="62">
        <f>IF(A95&lt;=Eingabe!$D$22,L95/(1+Eingabe!$D$23)^D95,"")</f>
        <v>3053.527938118475</v>
      </c>
      <c r="N95" s="62">
        <f>IF(A95&lt;=Eingabe!$D$22,N94+M95,"")</f>
        <v>-8376.7330192195095</v>
      </c>
      <c r="O95" s="25"/>
    </row>
    <row r="96" spans="1:15" x14ac:dyDescent="0.25">
      <c r="A96" s="39">
        <v>16</v>
      </c>
      <c r="B96" s="26"/>
      <c r="C96" s="61">
        <f>IF(A96&lt;=Eingabe!$D$22,C95+1,"")</f>
        <v>2034</v>
      </c>
      <c r="D96" s="57">
        <f>IF(A96&lt;=Eingabe!$D$22,D95+1,"")</f>
        <v>16</v>
      </c>
      <c r="E96" s="80">
        <f>IF(A96&lt;=Eingabe!$D$22,IF(D96=Eingabe!$D$53,-Eingabe!$L$53*(1+Eingabe!$J$52)^D96,IF(D96=Eingabe!$D$54,-Eingabe!$L$54*(1+Eingabe!$J$53)^D96,IF(D96=Eingabe!$D$55,-Eingabe!$L$55*(1+Eingabe!$J$54)^D96,0))),"")</f>
        <v>0</v>
      </c>
      <c r="F96" s="63">
        <f>IF(A96&lt;=Eingabe!$D$22,IF(D96=Eingabe!$D$59,-(Eingabe!$L$58+Eingabe!$L$59)*(1+Eingabe!$J$57)^D96,-(Eingabe!$L$58)*(1+Eingabe!$J$57)^D96),"")</f>
        <v>0</v>
      </c>
      <c r="G96" s="65">
        <f>IF(A96&lt;=Eingabe!$D$22,G95*(1+Eingabe!$J$59),"")</f>
        <v>0</v>
      </c>
      <c r="H96" s="65">
        <f>IF(A96&lt;=Eingabe!$D$22,(-Eingabe!$L$62*(1+Eingabe!$J$62)^Ergebnis!D96)-(Eingabe!$L$63*(1+Eingabe!$J$63)^Ergebnis!D96)-(Eingabe!$L$64*(1+Eingabe!$J$64)^Ergebnis!D96),"")</f>
        <v>-1481.2482474134133</v>
      </c>
      <c r="I96" s="72">
        <f>IF(A96&lt;=Eingabe!$D$22,(+Eingabe!$D$68)*(1+Eingabe!$J$68)^D96,"")</f>
        <v>0</v>
      </c>
      <c r="J96" s="75">
        <f>IF(B96&lt;=Eingabe!$D$22,(Eingabe!$L$19)*(1+Eingabe!$J$68)^D96,"")</f>
        <v>7035.4718695421925</v>
      </c>
      <c r="K96" s="81">
        <f>IF(D96&lt;=Eingabe!$D$22,IF(D96=Eingabe!$D$53,(Eingabe!$L$52*Eingabe!$I$52)*(1+Eingabe!$J$52)^Ergebnis!D96,IF(D96=Eingabe!$D$54,(Eingabe!$L$53*Eingabe!$I$53)*(1+Eingabe!$J$53)^Ergebnis!D96,IF(D96=Eingabe!$D$55,(Eingabe!$L$54*Eingabe!$I$54)*(1+Eingabe!$J$54)^Ergebnis!D96,IF(D96=Eingabe!$D$56,(Eingabe!$L$55*Eingabe!$I$55)*(1+Eingabe!$J$55)^Ergebnis!D96,0)))),"")</f>
        <v>0</v>
      </c>
      <c r="L96" s="58">
        <f>IF(A96&lt;=Eingabe!$D$22,SUM(E96:K96),"")</f>
        <v>5554.2236221287794</v>
      </c>
      <c r="M96" s="62">
        <f>IF(A96&lt;=Eingabe!$D$22,L96/(1+Eingabe!$D$23)^D96,"")</f>
        <v>2965.4454014419807</v>
      </c>
      <c r="N96" s="62">
        <f>IF(A96&lt;=Eingabe!$D$22,N95+M96,"")</f>
        <v>-5411.2876177775288</v>
      </c>
      <c r="O96" s="25"/>
    </row>
    <row r="97" spans="1:14" x14ac:dyDescent="0.25">
      <c r="A97" s="39">
        <v>17</v>
      </c>
      <c r="C97" s="61">
        <f>IF(A97&lt;=Eingabe!$D$22,C96+1,"")</f>
        <v>2035</v>
      </c>
      <c r="D97" s="57">
        <f>IF(A97&lt;=Eingabe!$D$22,D96+1,"")</f>
        <v>17</v>
      </c>
      <c r="E97" s="80">
        <f>IF(A97&lt;=Eingabe!$D$22,IF(D97=Eingabe!$D$53,-Eingabe!$L$53*(1+Eingabe!$J$52)^D97,IF(D97=Eingabe!$D$54,-Eingabe!$L$54*(1+Eingabe!$J$53)^D97,IF(D97=Eingabe!$D$55,-Eingabe!$L$55*(1+Eingabe!$J$54)^D97,0))),"")</f>
        <v>0</v>
      </c>
      <c r="F97" s="63">
        <f>IF(A97&lt;=Eingabe!$D$22,IF(D97=Eingabe!$D$59,-(Eingabe!$L$58+Eingabe!$L$59)*(1+Eingabe!$J$57)^D97,-(Eingabe!$L$58)*(1+Eingabe!$J$57)^D97),"")</f>
        <v>0</v>
      </c>
      <c r="G97" s="65">
        <f>IF(A97&lt;=Eingabe!$D$22,G96*(1+Eingabe!$J$59),"")</f>
        <v>0</v>
      </c>
      <c r="H97" s="65">
        <f>IF(A97&lt;=Eingabe!$D$22,(-Eingabe!$L$62*(1+Eingabe!$J$62)^Ergebnis!D97)-(Eingabe!$L$63*(1+Eingabe!$J$63)^Ergebnis!D97)-(Eingabe!$L$64*(1+Eingabe!$J$64)^Ergebnis!D97),"")</f>
        <v>-1496.0607298875475</v>
      </c>
      <c r="I97" s="72">
        <f>IF(A97&lt;=Eingabe!$D$22,(+Eingabe!$D$68)*(1+Eingabe!$J$68)^D97,"")</f>
        <v>0</v>
      </c>
      <c r="J97" s="75">
        <f>IF(B97&lt;=Eingabe!$D$22,(Eingabe!$L$19)*(1+Eingabe!$J$68)^D97,"")</f>
        <v>7105.8265882376154</v>
      </c>
      <c r="K97" s="81">
        <f>IF(D97&lt;=Eingabe!$D$22,IF(D97=Eingabe!$D$53,(Eingabe!$L$52*Eingabe!$I$52)*(1+Eingabe!$J$52)^Ergebnis!D97,IF(D97=Eingabe!$D$54,(Eingabe!$L$53*Eingabe!$I$53)*(1+Eingabe!$J$53)^Ergebnis!D97,IF(D97=Eingabe!$D$55,(Eingabe!$L$54*Eingabe!$I$54)*(1+Eingabe!$J$54)^Ergebnis!D97,IF(D97=Eingabe!$D$56,(Eingabe!$L$55*Eingabe!$I$55)*(1+Eingabe!$J$55)^Ergebnis!D97,0)))),"")</f>
        <v>0</v>
      </c>
      <c r="L97" s="58">
        <f>IF(A97&lt;=Eingabe!$D$22,SUM(E97:K97),"")</f>
        <v>5609.7658583500679</v>
      </c>
      <c r="M97" s="62">
        <f>IF(A97&lt;=Eingabe!$D$22,L97/(1+Eingabe!$D$23)^D97,"")</f>
        <v>2879.9037071696162</v>
      </c>
      <c r="N97" s="62">
        <f>IF(A97&lt;=Eingabe!$D$22,N96+M97,"")</f>
        <v>-2531.3839106079126</v>
      </c>
    </row>
    <row r="98" spans="1:14" x14ac:dyDescent="0.25">
      <c r="A98" s="39">
        <v>18</v>
      </c>
      <c r="C98" s="61">
        <f>IF(A98&lt;=Eingabe!$D$22,C97+1,"")</f>
        <v>2036</v>
      </c>
      <c r="D98" s="57">
        <f>IF(A98&lt;=Eingabe!$D$22,D97+1,"")</f>
        <v>18</v>
      </c>
      <c r="E98" s="80">
        <f>IF(A98&lt;=Eingabe!$D$22,IF(D98=Eingabe!$D$53,-Eingabe!$L$53*(1+Eingabe!$J$52)^D98,IF(D98=Eingabe!$D$54,-Eingabe!$L$54*(1+Eingabe!$J$53)^D98,IF(D98=Eingabe!$D$55,-Eingabe!$L$55*(1+Eingabe!$J$54)^D98,0))),"")</f>
        <v>0</v>
      </c>
      <c r="F98" s="63">
        <f>IF(A98&lt;=Eingabe!$D$22,IF(D98=Eingabe!$D$59,-(Eingabe!$L$58+Eingabe!$L$59)*(1+Eingabe!$J$57)^D98,-(Eingabe!$L$58)*(1+Eingabe!$J$57)^D98),"")</f>
        <v>0</v>
      </c>
      <c r="G98" s="65">
        <f>IF(A98&lt;=Eingabe!$D$22,G97*(1+Eingabe!$J$59),"")</f>
        <v>0</v>
      </c>
      <c r="H98" s="65">
        <f>IF(A98&lt;=Eingabe!$D$22,(-Eingabe!$L$62*(1+Eingabe!$J$62)^Ergebnis!D98)-(Eingabe!$L$63*(1+Eingabe!$J$63)^Ergebnis!D98)-(Eingabe!$L$64*(1+Eingabe!$J$64)^Ergebnis!D98),"")</f>
        <v>-1511.0213371864229</v>
      </c>
      <c r="I98" s="72">
        <f>IF(A98&lt;=Eingabe!$D$22,(+Eingabe!$D$68)*(1+Eingabe!$J$68)^D98,"")</f>
        <v>0</v>
      </c>
      <c r="J98" s="75">
        <f>IF(B98&lt;=Eingabe!$D$22,(Eingabe!$L$19)*(1+Eingabe!$J$68)^D98,"")</f>
        <v>7176.8848541199914</v>
      </c>
      <c r="K98" s="81">
        <f>IF(D98&lt;=Eingabe!$D$22,IF(D98=Eingabe!$D$53,(Eingabe!$L$52*Eingabe!$I$52)*(1+Eingabe!$J$52)^Ergebnis!D98,IF(D98=Eingabe!$D$54,(Eingabe!$L$53*Eingabe!$I$53)*(1+Eingabe!$J$53)^Ergebnis!D98,IF(D98=Eingabe!$D$55,(Eingabe!$L$54*Eingabe!$I$54)*(1+Eingabe!$J$54)^Ergebnis!D98,IF(D98=Eingabe!$D$56,(Eingabe!$L$55*Eingabe!$I$55)*(1+Eingabe!$J$55)^Ergebnis!D98,0)))),"")</f>
        <v>0</v>
      </c>
      <c r="L98" s="58">
        <f>IF(A98&lt;=Eingabe!$D$22,SUM(E98:K98),"")</f>
        <v>5665.8635169335685</v>
      </c>
      <c r="M98" s="62">
        <f>IF(A98&lt;=Eingabe!$D$22,L98/(1+Eingabe!$D$23)^D98,"")</f>
        <v>2796.8295617704925</v>
      </c>
      <c r="N98" s="62">
        <f>IF(A98&lt;=Eingabe!$D$22,N97+M98,"")</f>
        <v>265.44565116257991</v>
      </c>
    </row>
    <row r="99" spans="1:14" x14ac:dyDescent="0.25">
      <c r="A99" s="39">
        <v>19</v>
      </c>
      <c r="C99" s="61">
        <f>IF(A99&lt;=Eingabe!$D$22,C98+1,"")</f>
        <v>2037</v>
      </c>
      <c r="D99" s="57">
        <f>IF(A99&lt;=Eingabe!$D$22,D98+1,"")</f>
        <v>19</v>
      </c>
      <c r="E99" s="80">
        <f>IF(A99&lt;=Eingabe!$D$22,IF(D99=Eingabe!$D$53,-Eingabe!$L$53*(1+Eingabe!$J$52)^D99,IF(D99=Eingabe!$D$54,-Eingabe!$L$54*(1+Eingabe!$J$53)^D99,IF(D99=Eingabe!$D$55,-Eingabe!$L$55*(1+Eingabe!$J$54)^D99,0))),"")</f>
        <v>0</v>
      </c>
      <c r="F99" s="63">
        <f>IF(A99&lt;=Eingabe!$D$22,IF(D99=Eingabe!$D$59,-(Eingabe!$L$58+Eingabe!$L$59)*(1+Eingabe!$J$57)^D99,-(Eingabe!$L$58)*(1+Eingabe!$J$57)^D99),"")</f>
        <v>0</v>
      </c>
      <c r="G99" s="65">
        <f>IF(A99&lt;=Eingabe!$D$22,G98*(1+Eingabe!$J$59),"")</f>
        <v>0</v>
      </c>
      <c r="H99" s="65">
        <f>IF(A99&lt;=Eingabe!$D$22,(-Eingabe!$L$62*(1+Eingabe!$J$62)^Ergebnis!D99)-(Eingabe!$L$63*(1+Eingabe!$J$63)^Ergebnis!D99)-(Eingabe!$L$64*(1+Eingabe!$J$64)^Ergebnis!D99),"")</f>
        <v>-1526.1315505582868</v>
      </c>
      <c r="I99" s="72">
        <f>IF(A99&lt;=Eingabe!$D$22,(+Eingabe!$D$68)*(1+Eingabe!$J$68)^D99,"")</f>
        <v>0</v>
      </c>
      <c r="J99" s="75">
        <f>IF(B99&lt;=Eingabe!$D$22,(Eingabe!$L$19)*(1+Eingabe!$J$68)^D99,"")</f>
        <v>7248.6537026611895</v>
      </c>
      <c r="K99" s="81">
        <f>IF(D99&lt;=Eingabe!$D$22,IF(D99=Eingabe!$D$53,(Eingabe!$L$52*Eingabe!$I$52)*(1+Eingabe!$J$52)^Ergebnis!D99,IF(D99=Eingabe!$D$54,(Eingabe!$L$53*Eingabe!$I$53)*(1+Eingabe!$J$53)^Ergebnis!D99,IF(D99=Eingabe!$D$55,(Eingabe!$L$54*Eingabe!$I$54)*(1+Eingabe!$J$54)^Ergebnis!D99,IF(D99=Eingabe!$D$56,(Eingabe!$L$55*Eingabe!$I$55)*(1+Eingabe!$J$55)^Ergebnis!D99,0)))),"")</f>
        <v>0</v>
      </c>
      <c r="L99" s="58">
        <f>IF(A99&lt;=Eingabe!$D$22,SUM(E99:K99),"")</f>
        <v>5722.5221521029025</v>
      </c>
      <c r="M99" s="62">
        <f>IF(A99&lt;=Eingabe!$D$22,L99/(1+Eingabe!$D$23)^D99,"")</f>
        <v>2716.1517859501892</v>
      </c>
      <c r="N99" s="62">
        <f>IF(A99&lt;=Eingabe!$D$22,N98+M99,"")</f>
        <v>2981.5974371127691</v>
      </c>
    </row>
    <row r="100" spans="1:14" x14ac:dyDescent="0.25">
      <c r="A100" s="39">
        <v>20</v>
      </c>
      <c r="C100" s="61">
        <f>IF(A100&lt;=Eingabe!$D$22,C99+1,"")</f>
        <v>2038</v>
      </c>
      <c r="D100" s="57">
        <f>IF(A100&lt;=Eingabe!$D$22,D99+1,"")</f>
        <v>20</v>
      </c>
      <c r="E100" s="80">
        <f>IF(A100&lt;=Eingabe!$D$22,IF(D100=Eingabe!$D$53,-Eingabe!$L$53*(1+Eingabe!$J$52)^D100,IF(D100=Eingabe!$D$54,-Eingabe!$L$54*(1+Eingabe!$J$53)^D100,IF(D100=Eingabe!$D$55,-Eingabe!$L$55*(1+Eingabe!$J$54)^D100,0))),"")</f>
        <v>-96586.580738593024</v>
      </c>
      <c r="F100" s="63">
        <f>IF(A100&lt;=Eingabe!$D$22,IF(D100=Eingabe!$D$59,-(Eingabe!$L$58+Eingabe!$L$59)*(1+Eingabe!$J$57)^D100,-(Eingabe!$L$58)*(1+Eingabe!$J$57)^D100),"")</f>
        <v>-19317.316147718604</v>
      </c>
      <c r="G100" s="65">
        <f>IF(A100&lt;=Eingabe!$D$22,G99*(1+Eingabe!$J$59),"")</f>
        <v>0</v>
      </c>
      <c r="H100" s="65">
        <f>IF(A100&lt;=Eingabe!$D$22,(-Eingabe!$L$62*(1+Eingabe!$J$62)^Ergebnis!D100)-(Eingabe!$L$63*(1+Eingabe!$J$63)^Ergebnis!D100)-(Eingabe!$L$64*(1+Eingabe!$J$64)^Ergebnis!D100),"")</f>
        <v>-1541.3928660638699</v>
      </c>
      <c r="I100" s="72">
        <f>IF(A100&lt;=Eingabe!$D$22,(+Eingabe!$D$68)*(1+Eingabe!$J$68)^D100,"")</f>
        <v>0</v>
      </c>
      <c r="J100" s="75">
        <f>IF(B100&lt;=Eingabe!$D$22,(Eingabe!$L$19)*(1+Eingabe!$J$68)^D100,"")</f>
        <v>7321.140239687802</v>
      </c>
      <c r="K100" s="81">
        <f>IF(D100&lt;=Eingabe!$D$22,IF(D100=Eingabe!$D$53,(Eingabe!$L$52*Eingabe!$I$52)*(1+Eingabe!$J$52)^Ergebnis!D100,IF(D100=Eingabe!$D$54,(Eingabe!$L$53*Eingabe!$I$53)*(1+Eingabe!$J$53)^Ergebnis!D100,IF(D100=Eingabe!$D$55,(Eingabe!$L$54*Eingabe!$I$54)*(1+Eingabe!$J$54)^Ergebnis!D100,IF(D100=Eingabe!$D$56,(Eingabe!$L$55*Eingabe!$I$55)*(1+Eingabe!$J$55)^Ergebnis!D100,0)))),"")</f>
        <v>1931.7316147718604</v>
      </c>
      <c r="L100" s="58">
        <f>IF(A100&lt;=Eingabe!$D$22,SUM(E100:K100),"")</f>
        <v>-108192.41789791583</v>
      </c>
      <c r="M100" s="62">
        <f>IF(A100&lt;=Eingabe!$D$22,L100/(1+Eingabe!$D$23)^D100,"")</f>
        <v>-49377.607206563822</v>
      </c>
      <c r="N100" s="62">
        <f>IF(A100&lt;=Eingabe!$D$22,N99+M100,"")</f>
        <v>-46396.009769451055</v>
      </c>
    </row>
    <row r="101" spans="1:14" x14ac:dyDescent="0.25">
      <c r="A101" s="39">
        <v>21</v>
      </c>
      <c r="C101" s="61">
        <f>IF(A101&lt;=Eingabe!$D$22,C100+1,"")</f>
        <v>2039</v>
      </c>
      <c r="D101" s="57">
        <f>IF(A101&lt;=Eingabe!$D$22,D100+1,"")</f>
        <v>21</v>
      </c>
      <c r="E101" s="80">
        <f>IF(A101&lt;=Eingabe!$D$22,IF(D101=Eingabe!$D$53,-Eingabe!$L$53*(1+Eingabe!$J$52)^D101,IF(D101=Eingabe!$D$54,-Eingabe!$L$54*(1+Eingabe!$J$53)^D101,IF(D101=Eingabe!$D$55,-Eingabe!$L$55*(1+Eingabe!$J$54)^D101,0))),"")</f>
        <v>0</v>
      </c>
      <c r="F101" s="63">
        <f>IF(A101&lt;=Eingabe!$D$22,IF(D101=Eingabe!$D$59,-(Eingabe!$L$58+Eingabe!$L$59)*(1+Eingabe!$J$57)^D101,-(Eingabe!$L$58)*(1+Eingabe!$J$57)^D101),"")</f>
        <v>0</v>
      </c>
      <c r="G101" s="65">
        <f>IF(A101&lt;=Eingabe!$D$22,G100*(1+Eingabe!$J$59),"")</f>
        <v>0</v>
      </c>
      <c r="H101" s="65">
        <f>IF(A101&lt;=Eingabe!$D$22,(-Eingabe!$L$62*(1+Eingabe!$J$62)^Ergebnis!D101)-(Eingabe!$L$63*(1+Eingabe!$J$63)^Ergebnis!D101)-(Eingabe!$L$64*(1+Eingabe!$J$64)^Ergebnis!D101),"")</f>
        <v>-1556.8067947245083</v>
      </c>
      <c r="I101" s="72">
        <f>IF(A101&lt;=Eingabe!$D$22,(+Eingabe!$D$68)*(1+Eingabe!$J$68)^D101,"")</f>
        <v>0</v>
      </c>
      <c r="J101" s="75">
        <f>IF(B101&lt;=Eingabe!$D$22,(Eingabe!$L$19)*(1+Eingabe!$J$68)^D101,"")</f>
        <v>7394.35164208468</v>
      </c>
      <c r="K101" s="81">
        <f>IF(D101&lt;=Eingabe!$D$22,IF(D101=Eingabe!$D$53,(Eingabe!$L$52*Eingabe!$I$52)*(1+Eingabe!$J$52)^Ergebnis!D101,IF(D101=Eingabe!$D$54,(Eingabe!$L$53*Eingabe!$I$53)*(1+Eingabe!$J$53)^Ergebnis!D101,IF(D101=Eingabe!$D$55,(Eingabe!$L$54*Eingabe!$I$54)*(1+Eingabe!$J$54)^Ergebnis!D101,IF(D101=Eingabe!$D$56,(Eingabe!$L$55*Eingabe!$I$55)*(1+Eingabe!$J$55)^Ergebnis!D101,0)))),"")</f>
        <v>0</v>
      </c>
      <c r="L101" s="58">
        <f>IF(A101&lt;=Eingabe!$D$22,SUM(E101:K101),"")</f>
        <v>5837.5448473601718</v>
      </c>
      <c r="M101" s="62">
        <f>IF(A101&lt;=Eingabe!$D$22,L101/(1+Eingabe!$D$23)^D101,"")</f>
        <v>2561.7108328844188</v>
      </c>
      <c r="N101" s="62">
        <f>IF(A101&lt;=Eingabe!$D$22,N100+M101,"")</f>
        <v>-43834.298936566636</v>
      </c>
    </row>
    <row r="102" spans="1:14" x14ac:dyDescent="0.25">
      <c r="A102" s="39">
        <v>22</v>
      </c>
      <c r="C102" s="61">
        <f>IF(A102&lt;=Eingabe!$D$22,C101+1,"")</f>
        <v>2040</v>
      </c>
      <c r="D102" s="57">
        <f>IF(A102&lt;=Eingabe!$D$22,D101+1,"")</f>
        <v>22</v>
      </c>
      <c r="E102" s="80">
        <f>IF(A102&lt;=Eingabe!$D$22,IF(D102=Eingabe!$D$53,-Eingabe!$L$53*(1+Eingabe!$J$52)^D102,IF(D102=Eingabe!$D$54,-Eingabe!$L$54*(1+Eingabe!$J$53)^D102,IF(D102=Eingabe!$D$55,-Eingabe!$L$55*(1+Eingabe!$J$54)^D102,0))),"")</f>
        <v>0</v>
      </c>
      <c r="F102" s="63">
        <f>IF(A102&lt;=Eingabe!$D$22,IF(D102=Eingabe!$D$59,-(Eingabe!$L$58+Eingabe!$L$59)*(1+Eingabe!$J$57)^D102,-(Eingabe!$L$58)*(1+Eingabe!$J$57)^D102),"")</f>
        <v>0</v>
      </c>
      <c r="G102" s="65">
        <f>IF(A102&lt;=Eingabe!$D$22,G101*(1+Eingabe!$J$59),"")</f>
        <v>0</v>
      </c>
      <c r="H102" s="65">
        <f>IF(A102&lt;=Eingabe!$D$22,(-Eingabe!$L$62*(1+Eingabe!$J$62)^Ergebnis!D102)-(Eingabe!$L$63*(1+Eingabe!$J$63)^Ergebnis!D102)-(Eingabe!$L$64*(1+Eingabe!$J$64)^Ergebnis!D102),"")</f>
        <v>-1572.3748626717538</v>
      </c>
      <c r="I102" s="72">
        <f>IF(A102&lt;=Eingabe!$D$22,(+Eingabe!$D$68)*(1+Eingabe!$J$68)^D102,"")</f>
        <v>0</v>
      </c>
      <c r="J102" s="75">
        <f>IF(B102&lt;=Eingabe!$D$22,(Eingabe!$L$19)*(1+Eingabe!$J$68)^D102,"")</f>
        <v>7468.295158505528</v>
      </c>
      <c r="K102" s="81">
        <f>IF(D102&lt;=Eingabe!$D$22,IF(D102=Eingabe!$D$53,(Eingabe!$L$52*Eingabe!$I$52)*(1+Eingabe!$J$52)^Ergebnis!D102,IF(D102=Eingabe!$D$54,(Eingabe!$L$53*Eingabe!$I$53)*(1+Eingabe!$J$53)^Ergebnis!D102,IF(D102=Eingabe!$D$55,(Eingabe!$L$54*Eingabe!$I$54)*(1+Eingabe!$J$54)^Ergebnis!D102,IF(D102=Eingabe!$D$56,(Eingabe!$L$55*Eingabe!$I$55)*(1+Eingabe!$J$55)^Ergebnis!D102,0)))),"")</f>
        <v>0</v>
      </c>
      <c r="L102" s="58">
        <f>IF(A102&lt;=Eingabe!$D$22,SUM(E102:K102),"")</f>
        <v>5895.9202958337737</v>
      </c>
      <c r="M102" s="62">
        <f>IF(A102&lt;=Eingabe!$D$22,L102/(1+Eingabe!$D$23)^D102,"")</f>
        <v>2487.8153280896763</v>
      </c>
      <c r="N102" s="62">
        <f>IF(A102&lt;=Eingabe!$D$22,N101+M102,"")</f>
        <v>-41346.483608476963</v>
      </c>
    </row>
    <row r="103" spans="1:14" x14ac:dyDescent="0.25">
      <c r="A103" s="39">
        <v>23</v>
      </c>
      <c r="C103" s="61">
        <f>IF(A103&lt;=Eingabe!$D$22,C102+1,"")</f>
        <v>2041</v>
      </c>
      <c r="D103" s="57">
        <f>IF(A103&lt;=Eingabe!$D$22,D102+1,"")</f>
        <v>23</v>
      </c>
      <c r="E103" s="80">
        <f>IF(A103&lt;=Eingabe!$D$22,IF(D103=Eingabe!$D$53,-Eingabe!$L$53*(1+Eingabe!$J$52)^D103,IF(D103=Eingabe!$D$54,-Eingabe!$L$54*(1+Eingabe!$J$53)^D103,IF(D103=Eingabe!$D$55,-Eingabe!$L$55*(1+Eingabe!$J$54)^D103,0))),"")</f>
        <v>0</v>
      </c>
      <c r="F103" s="63">
        <f>IF(A103&lt;=Eingabe!$D$22,IF(D103=Eingabe!$D$59,-(Eingabe!$L$58+Eingabe!$L$59)*(1+Eingabe!$J$57)^D103,-(Eingabe!$L$58)*(1+Eingabe!$J$57)^D103),"")</f>
        <v>0</v>
      </c>
      <c r="G103" s="65">
        <f>IF(A103&lt;=Eingabe!$D$22,G102*(1+Eingabe!$J$59),"")</f>
        <v>0</v>
      </c>
      <c r="H103" s="65">
        <f>IF(A103&lt;=Eingabe!$D$22,(-Eingabe!$L$62*(1+Eingabe!$J$62)^Ergebnis!D103)-(Eingabe!$L$63*(1+Eingabe!$J$63)^Ergebnis!D103)-(Eingabe!$L$64*(1+Eingabe!$J$64)^Ergebnis!D103),"")</f>
        <v>-1588.0986112984713</v>
      </c>
      <c r="I103" s="72">
        <f>IF(A103&lt;=Eingabe!$D$22,(+Eingabe!$D$68)*(1+Eingabe!$J$68)^D103,"")</f>
        <v>0</v>
      </c>
      <c r="J103" s="75">
        <f>IF(B103&lt;=Eingabe!$D$22,(Eingabe!$L$19)*(1+Eingabe!$J$68)^D103,"")</f>
        <v>7542.978110090582</v>
      </c>
      <c r="K103" s="81">
        <f>IF(D103&lt;=Eingabe!$D$22,IF(D103=Eingabe!$D$53,(Eingabe!$L$52*Eingabe!$I$52)*(1+Eingabe!$J$52)^Ergebnis!D103,IF(D103=Eingabe!$D$54,(Eingabe!$L$53*Eingabe!$I$53)*(1+Eingabe!$J$53)^Ergebnis!D103,IF(D103=Eingabe!$D$55,(Eingabe!$L$54*Eingabe!$I$54)*(1+Eingabe!$J$54)^Ergebnis!D103,IF(D103=Eingabe!$D$56,(Eingabe!$L$55*Eingabe!$I$55)*(1+Eingabe!$J$55)^Ergebnis!D103,0)))),"")</f>
        <v>0</v>
      </c>
      <c r="L103" s="58">
        <f>IF(A103&lt;=Eingabe!$D$22,SUM(E103:K103),"")</f>
        <v>5954.879498792111</v>
      </c>
      <c r="M103" s="62">
        <f>IF(A103&lt;=Eingabe!$D$22,L103/(1+Eingabe!$D$23)^D103,"")</f>
        <v>2416.0514243947819</v>
      </c>
      <c r="N103" s="62">
        <f>IF(A103&lt;=Eingabe!$D$22,N102+M103,"")</f>
        <v>-38930.432184082179</v>
      </c>
    </row>
    <row r="104" spans="1:14" x14ac:dyDescent="0.25">
      <c r="A104" s="39">
        <v>24</v>
      </c>
      <c r="C104" s="61">
        <f>IF(A104&lt;=Eingabe!$D$22,C103+1,"")</f>
        <v>2042</v>
      </c>
      <c r="D104" s="57">
        <f>IF(A104&lt;=Eingabe!$D$22,D103+1,"")</f>
        <v>24</v>
      </c>
      <c r="E104" s="80">
        <f>IF(A104&lt;=Eingabe!$D$22,IF(D104=Eingabe!$D$53,-Eingabe!$L$53*(1+Eingabe!$J$52)^D104,IF(D104=Eingabe!$D$54,-Eingabe!$L$54*(1+Eingabe!$J$53)^D104,IF(D104=Eingabe!$D$55,-Eingabe!$L$55*(1+Eingabe!$J$54)^D104,0))),"")</f>
        <v>0</v>
      </c>
      <c r="F104" s="63">
        <f>IF(A104&lt;=Eingabe!$D$22,IF(D104=Eingabe!$D$59,-(Eingabe!$L$58+Eingabe!$L$59)*(1+Eingabe!$J$57)^D104,-(Eingabe!$L$58)*(1+Eingabe!$J$57)^D104),"")</f>
        <v>0</v>
      </c>
      <c r="G104" s="65">
        <f>IF(A104&lt;=Eingabe!$D$22,G103*(1+Eingabe!$J$59),"")</f>
        <v>0</v>
      </c>
      <c r="H104" s="65">
        <f>IF(A104&lt;=Eingabe!$D$22,(-Eingabe!$L$62*(1+Eingabe!$J$62)^Ergebnis!D104)-(Eingabe!$L$63*(1+Eingabe!$J$63)^Ergebnis!D104)-(Eingabe!$L$64*(1+Eingabe!$J$64)^Ergebnis!D104),"")</f>
        <v>-1603.9795974114563</v>
      </c>
      <c r="I104" s="72">
        <f>IF(A104&lt;=Eingabe!$D$22,(+Eingabe!$D$68)*(1+Eingabe!$J$68)^D104,"")</f>
        <v>0</v>
      </c>
      <c r="J104" s="75">
        <f>IF(B104&lt;=Eingabe!$D$22,(Eingabe!$L$19)*(1+Eingabe!$J$68)^D104,"")</f>
        <v>7618.4078911914903</v>
      </c>
      <c r="K104" s="81">
        <f>IF(D104&lt;=Eingabe!$D$22,IF(D104=Eingabe!$D$53,(Eingabe!$L$52*Eingabe!$I$52)*(1+Eingabe!$J$52)^Ergebnis!D104,IF(D104=Eingabe!$D$54,(Eingabe!$L$53*Eingabe!$I$53)*(1+Eingabe!$J$53)^Ergebnis!D104,IF(D104=Eingabe!$D$55,(Eingabe!$L$54*Eingabe!$I$54)*(1+Eingabe!$J$54)^Ergebnis!D104,IF(D104=Eingabe!$D$56,(Eingabe!$L$55*Eingabe!$I$55)*(1+Eingabe!$J$55)^Ergebnis!D104,0)))),"")</f>
        <v>0</v>
      </c>
      <c r="L104" s="58">
        <f>IF(A104&lt;=Eingabe!$D$22,SUM(E104:K104),"")</f>
        <v>6014.4282937800344</v>
      </c>
      <c r="M104" s="62">
        <f>IF(A104&lt;=Eingabe!$D$22,L104/(1+Eingabe!$D$23)^D104,"")</f>
        <v>2346.3576333064716</v>
      </c>
      <c r="N104" s="62">
        <f>IF(A104&lt;=Eingabe!$D$22,N103+M104,"")</f>
        <v>-36584.074550775709</v>
      </c>
    </row>
    <row r="105" spans="1:14" x14ac:dyDescent="0.25">
      <c r="A105" s="39">
        <v>25</v>
      </c>
      <c r="C105" s="61">
        <f>IF(A105&lt;=Eingabe!$D$22,C104+1,"")</f>
        <v>2043</v>
      </c>
      <c r="D105" s="57">
        <f>IF(A105&lt;=Eingabe!$D$22,D104+1,"")</f>
        <v>25</v>
      </c>
      <c r="E105" s="80">
        <f>IF(A105&lt;=Eingabe!$D$22,IF(D105=Eingabe!$D$53,-Eingabe!$L$53*(1+Eingabe!$J$52)^D105,IF(D105=Eingabe!$D$54,-Eingabe!$L$54*(1+Eingabe!$J$53)^D105,IF(D105=Eingabe!$D$55,-Eingabe!$L$55*(1+Eingabe!$J$54)^D105,0))),"")</f>
        <v>0</v>
      </c>
      <c r="F105" s="63">
        <f>IF(A105&lt;=Eingabe!$D$22,IF(D105=Eingabe!$D$59,-(Eingabe!$L$58+Eingabe!$L$59)*(1+Eingabe!$J$57)^D105,-(Eingabe!$L$58)*(1+Eingabe!$J$57)^D105),"")</f>
        <v>0</v>
      </c>
      <c r="G105" s="65">
        <f>IF(A105&lt;=Eingabe!$D$22,G104*(1+Eingabe!$J$59),"")</f>
        <v>0</v>
      </c>
      <c r="H105" s="65">
        <f>IF(A105&lt;=Eingabe!$D$22,(-Eingabe!$L$62*(1+Eingabe!$J$62)^Ergebnis!D105)-(Eingabe!$L$63*(1+Eingabe!$J$63)^Ergebnis!D105)-(Eingabe!$L$64*(1+Eingabe!$J$64)^Ergebnis!D105),"")</f>
        <v>-1620.019393385571</v>
      </c>
      <c r="I105" s="72">
        <f>IF(A105&lt;=Eingabe!$D$22,(+Eingabe!$D$68)*(1+Eingabe!$J$68)^D105,"")</f>
        <v>0</v>
      </c>
      <c r="J105" s="75">
        <f>IF(B105&lt;=Eingabe!$D$22,(Eingabe!$L$19)*(1+Eingabe!$J$68)^D105,"")</f>
        <v>7694.5919701034054</v>
      </c>
      <c r="K105" s="81">
        <f>IF(D105&lt;=Eingabe!$D$22,IF(D105=Eingabe!$D$53,(Eingabe!$L$52*Eingabe!$I$52)*(1+Eingabe!$J$52)^Ergebnis!D105,IF(D105=Eingabe!$D$54,(Eingabe!$L$53*Eingabe!$I$53)*(1+Eingabe!$J$53)^Ergebnis!D105,IF(D105=Eingabe!$D$55,(Eingabe!$L$54*Eingabe!$I$54)*(1+Eingabe!$J$54)^Ergebnis!D105,IF(D105=Eingabe!$D$56,(Eingabe!$L$55*Eingabe!$I$55)*(1+Eingabe!$J$55)^Ergebnis!D105,0)))),"")</f>
        <v>0</v>
      </c>
      <c r="L105" s="58">
        <f>IF(A105&lt;=Eingabe!$D$22,SUM(E105:K105),"")</f>
        <v>6074.5725767178346</v>
      </c>
      <c r="M105" s="62">
        <f>IF(A105&lt;=Eingabe!$D$22,L105/(1+Eingabe!$D$23)^D105,"")</f>
        <v>2278.6742400380153</v>
      </c>
      <c r="N105" s="62">
        <f>IF(A105&lt;=Eingabe!$D$22,N104+M105,"")</f>
        <v>-34305.400310737692</v>
      </c>
    </row>
    <row r="106" spans="1:14" x14ac:dyDescent="0.25">
      <c r="A106" s="39">
        <v>26</v>
      </c>
      <c r="C106" s="61">
        <f>IF(A106&lt;=Eingabe!$D$22,C105+1,"")</f>
        <v>2044</v>
      </c>
      <c r="D106" s="57">
        <f>IF(A106&lt;=Eingabe!$D$22,D105+1,"")</f>
        <v>26</v>
      </c>
      <c r="E106" s="80">
        <f>IF(A106&lt;=Eingabe!$D$22,IF(D106=Eingabe!$D$53,-Eingabe!$L$53*(1+Eingabe!$J$52)^D106,IF(D106=Eingabe!$D$54,-Eingabe!$L$54*(1+Eingabe!$J$53)^D106,IF(D106=Eingabe!$D$55,-Eingabe!$L$55*(1+Eingabe!$J$54)^D106,0))),"")</f>
        <v>0</v>
      </c>
      <c r="F106" s="63">
        <f>IF(A106&lt;=Eingabe!$D$22,IF(D106=Eingabe!$D$59,-(Eingabe!$L$58+Eingabe!$L$59)*(1+Eingabe!$J$57)^D106,-(Eingabe!$L$58)*(1+Eingabe!$J$57)^D106),"")</f>
        <v>0</v>
      </c>
      <c r="G106" s="65">
        <f>IF(A106&lt;=Eingabe!$D$22,G105*(1+Eingabe!$J$59),"")</f>
        <v>0</v>
      </c>
      <c r="H106" s="65">
        <f>IF(A106&lt;=Eingabe!$D$22,(-Eingabe!$L$62*(1+Eingabe!$J$62)^Ergebnis!D106)-(Eingabe!$L$63*(1+Eingabe!$J$63)^Ergebnis!D106)-(Eingabe!$L$64*(1+Eingabe!$J$64)^Ergebnis!D106),"")</f>
        <v>-1636.2195873194266</v>
      </c>
      <c r="I106" s="72">
        <f>IF(A106&lt;=Eingabe!$D$22,(+Eingabe!$D$68)*(1+Eingabe!$J$68)^D106,"")</f>
        <v>0</v>
      </c>
      <c r="J106" s="75">
        <f>IF(B106&lt;=Eingabe!$D$22,(Eingabe!$L$19)*(1+Eingabe!$J$68)^D106,"")</f>
        <v>7771.5378898044391</v>
      </c>
      <c r="K106" s="81">
        <f>IF(D106&lt;=Eingabe!$D$22,IF(D106=Eingabe!$D$53,(Eingabe!$L$52*Eingabe!$I$52)*(1+Eingabe!$J$52)^Ergebnis!D106,IF(D106=Eingabe!$D$54,(Eingabe!$L$53*Eingabe!$I$53)*(1+Eingabe!$J$53)^Ergebnis!D106,IF(D106=Eingabe!$D$55,(Eingabe!$L$54*Eingabe!$I$54)*(1+Eingabe!$J$54)^Ergebnis!D106,IF(D106=Eingabe!$D$56,(Eingabe!$L$55*Eingabe!$I$55)*(1+Eingabe!$J$55)^Ergebnis!D106,0)))),"")</f>
        <v>0</v>
      </c>
      <c r="L106" s="58">
        <f>IF(A106&lt;=Eingabe!$D$22,SUM(E106:K106),"")</f>
        <v>6135.3183024850123</v>
      </c>
      <c r="M106" s="62">
        <f>IF(A106&lt;=Eingabe!$D$22,L106/(1+Eingabe!$D$23)^D106,"")</f>
        <v>2212.9432523446108</v>
      </c>
      <c r="N106" s="62">
        <f>IF(A106&lt;=Eingabe!$D$22,N105+M106,"")</f>
        <v>-32092.45705839308</v>
      </c>
    </row>
    <row r="107" spans="1:14" x14ac:dyDescent="0.25">
      <c r="A107" s="39">
        <v>27</v>
      </c>
      <c r="C107" s="61">
        <f>IF(A107&lt;=Eingabe!$D$22,C106+1,"")</f>
        <v>2045</v>
      </c>
      <c r="D107" s="57">
        <f>IF(A107&lt;=Eingabe!$D$22,D106+1,"")</f>
        <v>27</v>
      </c>
      <c r="E107" s="80">
        <f>IF(A107&lt;=Eingabe!$D$22,IF(D107=Eingabe!$D$53,-Eingabe!$L$53*(1+Eingabe!$J$52)^D107,IF(D107=Eingabe!$D$54,-Eingabe!$L$54*(1+Eingabe!$J$53)^D107,IF(D107=Eingabe!$D$55,-Eingabe!$L$55*(1+Eingabe!$J$54)^D107,0))),"")</f>
        <v>0</v>
      </c>
      <c r="F107" s="63">
        <f>IF(A107&lt;=Eingabe!$D$22,IF(D107=Eingabe!$D$59,-(Eingabe!$L$58+Eingabe!$L$59)*(1+Eingabe!$J$57)^D107,-(Eingabe!$L$58)*(1+Eingabe!$J$57)^D107),"")</f>
        <v>0</v>
      </c>
      <c r="G107" s="65">
        <f>IF(A107&lt;=Eingabe!$D$22,G106*(1+Eingabe!$J$59),"")</f>
        <v>0</v>
      </c>
      <c r="H107" s="65">
        <f>IF(A107&lt;=Eingabe!$D$22,(-Eingabe!$L$62*(1+Eingabe!$J$62)^Ergebnis!D107)-(Eingabe!$L$63*(1+Eingabe!$J$63)^Ergebnis!D107)-(Eingabe!$L$64*(1+Eingabe!$J$64)^Ergebnis!D107),"")</f>
        <v>-1652.5817831926204</v>
      </c>
      <c r="I107" s="72">
        <f>IF(A107&lt;=Eingabe!$D$22,(+Eingabe!$D$68)*(1+Eingabe!$J$68)^D107,"")</f>
        <v>0</v>
      </c>
      <c r="J107" s="75">
        <f>IF(B107&lt;=Eingabe!$D$22,(Eingabe!$L$19)*(1+Eingabe!$J$68)^D107,"")</f>
        <v>7849.2532687024814</v>
      </c>
      <c r="K107" s="81">
        <f>IF(D107&lt;=Eingabe!$D$22,IF(D107=Eingabe!$D$53,(Eingabe!$L$52*Eingabe!$I$52)*(1+Eingabe!$J$52)^Ergebnis!D107,IF(D107=Eingabe!$D$54,(Eingabe!$L$53*Eingabe!$I$53)*(1+Eingabe!$J$53)^Ergebnis!D107,IF(D107=Eingabe!$D$55,(Eingabe!$L$54*Eingabe!$I$54)*(1+Eingabe!$J$54)^Ergebnis!D107,IF(D107=Eingabe!$D$56,(Eingabe!$L$55*Eingabe!$I$55)*(1+Eingabe!$J$55)^Ergebnis!D107,0)))),"")</f>
        <v>0</v>
      </c>
      <c r="L107" s="58">
        <f>IF(A107&lt;=Eingabe!$D$22,SUM(E107:K107),"")</f>
        <v>6196.6714855098608</v>
      </c>
      <c r="M107" s="62">
        <f>IF(A107&lt;=Eingabe!$D$22,L107/(1+Eingabe!$D$23)^D107,"")</f>
        <v>2149.1083508346696</v>
      </c>
      <c r="N107" s="62">
        <f>IF(A107&lt;=Eingabe!$D$22,N106+M107,"")</f>
        <v>-29943.348707558409</v>
      </c>
    </row>
    <row r="108" spans="1:14" x14ac:dyDescent="0.25">
      <c r="A108" s="39">
        <v>28</v>
      </c>
      <c r="C108" s="61">
        <f>IF(A108&lt;=Eingabe!$D$22,C107+1,"")</f>
        <v>2046</v>
      </c>
      <c r="D108" s="57">
        <f>IF(A108&lt;=Eingabe!$D$22,D107+1,"")</f>
        <v>28</v>
      </c>
      <c r="E108" s="80">
        <f>IF(A108&lt;=Eingabe!$D$22,IF(D108=Eingabe!$D$53,-Eingabe!$L$53*(1+Eingabe!$J$52)^D108,IF(D108=Eingabe!$D$54,-Eingabe!$L$54*(1+Eingabe!$J$53)^D108,IF(D108=Eingabe!$D$55,-Eingabe!$L$55*(1+Eingabe!$J$54)^D108,0))),"")</f>
        <v>0</v>
      </c>
      <c r="F108" s="63">
        <f>IF(A108&lt;=Eingabe!$D$22,IF(D108=Eingabe!$D$59,-(Eingabe!$L$58+Eingabe!$L$59)*(1+Eingabe!$J$57)^D108,-(Eingabe!$L$58)*(1+Eingabe!$J$57)^D108),"")</f>
        <v>0</v>
      </c>
      <c r="G108" s="65">
        <f>IF(A108&lt;=Eingabe!$D$22,G107*(1+Eingabe!$J$59),"")</f>
        <v>0</v>
      </c>
      <c r="H108" s="65">
        <f>IF(A108&lt;=Eingabe!$D$22,(-Eingabe!$L$62*(1+Eingabe!$J$62)^Ergebnis!D108)-(Eingabe!$L$63*(1+Eingabe!$J$63)^Ergebnis!D108)-(Eingabe!$L$64*(1+Eingabe!$J$64)^Ergebnis!D108),"")</f>
        <v>-1669.1076010245467</v>
      </c>
      <c r="I108" s="72">
        <f>IF(A108&lt;=Eingabe!$D$22,(+Eingabe!$D$68)*(1+Eingabe!$J$68)^D108,"")</f>
        <v>0</v>
      </c>
      <c r="J108" s="75">
        <f>IF(B108&lt;=Eingabe!$D$22,(Eingabe!$L$19)*(1+Eingabe!$J$68)^D108,"")</f>
        <v>7927.7458013895066</v>
      </c>
      <c r="K108" s="81">
        <f>IF(D108&lt;=Eingabe!$D$22,IF(D108=Eingabe!$D$53,(Eingabe!$L$52*Eingabe!$I$52)*(1+Eingabe!$J$52)^Ergebnis!D108,IF(D108=Eingabe!$D$54,(Eingabe!$L$53*Eingabe!$I$53)*(1+Eingabe!$J$53)^Ergebnis!D108,IF(D108=Eingabe!$D$55,(Eingabe!$L$54*Eingabe!$I$54)*(1+Eingabe!$J$54)^Ergebnis!D108,IF(D108=Eingabe!$D$56,(Eingabe!$L$55*Eingabe!$I$55)*(1+Eingabe!$J$55)^Ergebnis!D108,0)))),"")</f>
        <v>0</v>
      </c>
      <c r="L108" s="58">
        <f>IF(A108&lt;=Eingabe!$D$22,SUM(E108:K108),"")</f>
        <v>6258.6382003649596</v>
      </c>
      <c r="M108" s="62">
        <f>IF(A108&lt;=Eingabe!$D$22,L108/(1+Eingabe!$D$23)^D108,"")</f>
        <v>2087.1148407144383</v>
      </c>
      <c r="N108" s="62">
        <f>IF(A108&lt;=Eingabe!$D$22,N107+M108,"")</f>
        <v>-27856.23386684397</v>
      </c>
    </row>
    <row r="109" spans="1:14" x14ac:dyDescent="0.25">
      <c r="A109" s="39">
        <v>29</v>
      </c>
      <c r="C109" s="61">
        <f>IF(A109&lt;=Eingabe!$D$22,C108+1,"")</f>
        <v>2047</v>
      </c>
      <c r="D109" s="57">
        <f>IF(A109&lt;=Eingabe!$D$22,D108+1,"")</f>
        <v>29</v>
      </c>
      <c r="E109" s="80">
        <f>IF(A109&lt;=Eingabe!$D$22,IF(D109=Eingabe!$D$53,-Eingabe!$L$53*(1+Eingabe!$J$52)^D109,IF(D109=Eingabe!$D$54,-Eingabe!$L$54*(1+Eingabe!$J$53)^D109,IF(D109=Eingabe!$D$55,-Eingabe!$L$55*(1+Eingabe!$J$54)^D109,0))),"")</f>
        <v>0</v>
      </c>
      <c r="F109" s="63">
        <f>IF(A109&lt;=Eingabe!$D$22,IF(D109=Eingabe!$D$59,-(Eingabe!$L$58+Eingabe!$L$59)*(1+Eingabe!$J$57)^D109,-(Eingabe!$L$58)*(1+Eingabe!$J$57)^D109),"")</f>
        <v>0</v>
      </c>
      <c r="G109" s="65">
        <f>IF(A109&lt;=Eingabe!$D$22,G108*(1+Eingabe!$J$59),"")</f>
        <v>0</v>
      </c>
      <c r="H109" s="65">
        <f>IF(A109&lt;=Eingabe!$D$22,(-Eingabe!$L$62*(1+Eingabe!$J$62)^Ergebnis!D109)-(Eingabe!$L$63*(1+Eingabe!$J$63)^Ergebnis!D109)-(Eingabe!$L$64*(1+Eingabe!$J$64)^Ergebnis!D109),"")</f>
        <v>-1685.7986770347923</v>
      </c>
      <c r="I109" s="72">
        <f>IF(A109&lt;=Eingabe!$D$22,(+Eingabe!$D$68)*(1+Eingabe!$J$68)^D109,"")</f>
        <v>0</v>
      </c>
      <c r="J109" s="75">
        <f>IF(B109&lt;=Eingabe!$D$22,(Eingabe!$L$19)*(1+Eingabe!$J$68)^D109,"")</f>
        <v>8007.0232594034023</v>
      </c>
      <c r="K109" s="81">
        <f>IF(D109&lt;=Eingabe!$D$22,IF(D109=Eingabe!$D$53,(Eingabe!$L$52*Eingabe!$I$52)*(1+Eingabe!$J$52)^Ergebnis!D109,IF(D109=Eingabe!$D$54,(Eingabe!$L$53*Eingabe!$I$53)*(1+Eingabe!$J$53)^Ergebnis!D109,IF(D109=Eingabe!$D$55,(Eingabe!$L$54*Eingabe!$I$54)*(1+Eingabe!$J$54)^Ergebnis!D109,IF(D109=Eingabe!$D$56,(Eingabe!$L$55*Eingabe!$I$55)*(1+Eingabe!$J$55)^Ergebnis!D109,0)))),"")</f>
        <v>0</v>
      </c>
      <c r="L109" s="58">
        <f>IF(A109&lt;=Eingabe!$D$22,SUM(E109:K109),"")</f>
        <v>6321.2245823686098</v>
      </c>
      <c r="M109" s="62">
        <f>IF(A109&lt;=Eingabe!$D$22,L109/(1+Eingabe!$D$23)^D109,"")</f>
        <v>2026.9096049245989</v>
      </c>
      <c r="N109" s="62">
        <f>IF(A109&lt;=Eingabe!$D$22,N108+M109,"")</f>
        <v>-25829.32426191937</v>
      </c>
    </row>
    <row r="110" spans="1:14" x14ac:dyDescent="0.25">
      <c r="A110" s="39">
        <v>30</v>
      </c>
      <c r="C110" s="61">
        <f>IF(A110&lt;=Eingabe!$D$22,C109+1,"")</f>
        <v>2048</v>
      </c>
      <c r="D110" s="57">
        <f>IF(A110&lt;=Eingabe!$D$22,D109+1,"")</f>
        <v>30</v>
      </c>
      <c r="E110" s="80">
        <f>IF(A110&lt;=Eingabe!$D$22,IF(D110=Eingabe!$D$53,-Eingabe!$L$53*(1+Eingabe!$J$52)^D110,IF(D110=Eingabe!$D$54,-Eingabe!$L$54*(1+Eingabe!$J$53)^D110,IF(D110=Eingabe!$D$55,-Eingabe!$L$55*(1+Eingabe!$J$54)^D110,0))),"")</f>
        <v>0</v>
      </c>
      <c r="F110" s="63">
        <f>IF(A110&lt;=Eingabe!$D$22,IF(D110=Eingabe!$D$59,-(Eingabe!$L$58+Eingabe!$L$59)*(1+Eingabe!$J$57)^D110,-(Eingabe!$L$58)*(1+Eingabe!$J$57)^D110),"")</f>
        <v>0</v>
      </c>
      <c r="G110" s="65">
        <f>IF(A110&lt;=Eingabe!$D$22,G109*(1+Eingabe!$J$59),"")</f>
        <v>0</v>
      </c>
      <c r="H110" s="65">
        <f>IF(A110&lt;=Eingabe!$D$22,(-Eingabe!$L$62*(1+Eingabe!$J$62)^Ergebnis!D110)-(Eingabe!$L$63*(1+Eingabe!$J$63)^Ergebnis!D110)-(Eingabe!$L$64*(1+Eingabe!$J$64)^Ergebnis!D110),"")</f>
        <v>-1702.6566638051406</v>
      </c>
      <c r="I110" s="72">
        <f>IF(A110&lt;=Eingabe!$D$22,(+Eingabe!$D$68)*(1+Eingabe!$J$68)^D110,"")</f>
        <v>0</v>
      </c>
      <c r="J110" s="75">
        <f>IF(B110&lt;=Eingabe!$D$22,(Eingabe!$L$19)*(1+Eingabe!$J$68)^D110,"")</f>
        <v>8087.0934919974379</v>
      </c>
      <c r="K110" s="81">
        <f>IF(D110&lt;=Eingabe!$D$22,IF(D110=Eingabe!$D$53,(Eingabe!$L$52*Eingabe!$I$52)*(1+Eingabe!$J$52)^Ergebnis!D110,IF(D110=Eingabe!$D$54,(Eingabe!$L$53*Eingabe!$I$53)*(1+Eingabe!$J$53)^Ergebnis!D110,IF(D110=Eingabe!$D$55,(Eingabe!$L$54*Eingabe!$I$54)*(1+Eingabe!$J$54)^Ergebnis!D110,IF(D110=Eingabe!$D$56,(Eingabe!$L$55*Eingabe!$I$55)*(1+Eingabe!$J$55)^Ergebnis!D110,0)))),"")</f>
        <v>0</v>
      </c>
      <c r="L110" s="58">
        <f>IF(A110&lt;=Eingabe!$D$22,SUM(E110:K110),"")</f>
        <v>6384.4368281922971</v>
      </c>
      <c r="M110" s="62">
        <f>IF(A110&lt;=Eingabe!$D$22,L110/(1+Eingabe!$D$23)^D110,"")</f>
        <v>1968.4410586286976</v>
      </c>
      <c r="N110" s="62">
        <f>IF(A110&lt;=Eingabe!$D$22,N109+M110,"")</f>
        <v>-23860.883203290672</v>
      </c>
    </row>
    <row r="111" spans="1:14" x14ac:dyDescent="0.25">
      <c r="A111" s="39">
        <v>31</v>
      </c>
      <c r="C111" s="61">
        <f>IF(A111&lt;=Eingabe!$D$22,C110+1,"")</f>
        <v>2049</v>
      </c>
      <c r="D111" s="57">
        <f>IF(A111&lt;=Eingabe!$D$22,D110+1,"")</f>
        <v>31</v>
      </c>
      <c r="E111" s="80">
        <f>IF(A111&lt;=Eingabe!$D$22,IF(D111=Eingabe!$D$53,-Eingabe!$L$53*(1+Eingabe!$J$52)^D111,IF(D111=Eingabe!$D$54,-Eingabe!$L$54*(1+Eingabe!$J$53)^D111,IF(D111=Eingabe!$D$55,-Eingabe!$L$55*(1+Eingabe!$J$54)^D111,0))),"")</f>
        <v>0</v>
      </c>
      <c r="F111" s="63">
        <f>IF(A111&lt;=Eingabe!$D$22,IF(D111=Eingabe!$D$59,-(Eingabe!$L$58+Eingabe!$L$59)*(1+Eingabe!$J$57)^D111,-(Eingabe!$L$58)*(1+Eingabe!$J$57)^D111),"")</f>
        <v>0</v>
      </c>
      <c r="G111" s="65">
        <f>IF(A111&lt;=Eingabe!$D$22,G110*(1+Eingabe!$J$59),"")</f>
        <v>0</v>
      </c>
      <c r="H111" s="65">
        <f>IF(A111&lt;=Eingabe!$D$22,(-Eingabe!$L$62*(1+Eingabe!$J$62)^Ergebnis!D111)-(Eingabe!$L$63*(1+Eingabe!$J$63)^Ergebnis!D111)-(Eingabe!$L$64*(1+Eingabe!$J$64)^Ergebnis!D111),"")</f>
        <v>-1719.6832304431914</v>
      </c>
      <c r="I111" s="72">
        <f>IF(A111&lt;=Eingabe!$D$22,(+Eingabe!$D$68)*(1+Eingabe!$J$68)^D111,"")</f>
        <v>0</v>
      </c>
      <c r="J111" s="75">
        <f>IF(B111&lt;=Eingabe!$D$22,(Eingabe!$L$19)*(1+Eingabe!$J$68)^D111,"")</f>
        <v>8167.9644269174096</v>
      </c>
      <c r="K111" s="81">
        <f>IF(D111&lt;=Eingabe!$D$22,IF(D111=Eingabe!$D$53,(Eingabe!$L$52*Eingabe!$I$52)*(1+Eingabe!$J$52)^Ergebnis!D111,IF(D111=Eingabe!$D$54,(Eingabe!$L$53*Eingabe!$I$53)*(1+Eingabe!$J$53)^Ergebnis!D111,IF(D111=Eingabe!$D$55,(Eingabe!$L$54*Eingabe!$I$54)*(1+Eingabe!$J$54)^Ergebnis!D111,IF(D111=Eingabe!$D$56,(Eingabe!$L$55*Eingabe!$I$55)*(1+Eingabe!$J$55)^Ergebnis!D111,0)))),"")</f>
        <v>0</v>
      </c>
      <c r="L111" s="58">
        <f>IF(A111&lt;=Eingabe!$D$22,SUM(E111:K111),"")</f>
        <v>6448.2811964742177</v>
      </c>
      <c r="M111" s="62">
        <f>IF(A111&lt;=Eingabe!$D$22,L111/(1+Eingabe!$D$23)^D111,"")</f>
        <v>1911.6591050144075</v>
      </c>
      <c r="N111" s="62">
        <f>IF(A111&lt;=Eingabe!$D$22,N110+M111,"")</f>
        <v>-21949.224098276263</v>
      </c>
    </row>
    <row r="112" spans="1:14" x14ac:dyDescent="0.25">
      <c r="A112" s="39">
        <v>32</v>
      </c>
      <c r="C112" s="61">
        <f>IF(A112&lt;=Eingabe!$D$22,C111+1,"")</f>
        <v>2050</v>
      </c>
      <c r="D112" s="57">
        <f>IF(A112&lt;=Eingabe!$D$22,D111+1,"")</f>
        <v>32</v>
      </c>
      <c r="E112" s="80">
        <f>IF(A112&lt;=Eingabe!$D$22,IF(D112=Eingabe!$D$53,-Eingabe!$L$53*(1+Eingabe!$J$52)^D112,IF(D112=Eingabe!$D$54,-Eingabe!$L$54*(1+Eingabe!$J$53)^D112,IF(D112=Eingabe!$D$55,-Eingabe!$L$55*(1+Eingabe!$J$54)^D112,0))),"")</f>
        <v>0</v>
      </c>
      <c r="F112" s="63">
        <f>IF(A112&lt;=Eingabe!$D$22,IF(D112=Eingabe!$D$59,-(Eingabe!$L$58+Eingabe!$L$59)*(1+Eingabe!$J$57)^D112,-(Eingabe!$L$58)*(1+Eingabe!$J$57)^D112),"")</f>
        <v>0</v>
      </c>
      <c r="G112" s="65">
        <f>IF(A112&lt;=Eingabe!$D$22,G111*(1+Eingabe!$J$59),"")</f>
        <v>0</v>
      </c>
      <c r="H112" s="65">
        <f>IF(A112&lt;=Eingabe!$D$22,(-Eingabe!$L$62*(1+Eingabe!$J$62)^Ergebnis!D112)-(Eingabe!$L$63*(1+Eingabe!$J$63)^Ergebnis!D112)-(Eingabe!$L$64*(1+Eingabe!$J$64)^Ergebnis!D112),"")</f>
        <v>-1736.8800627476237</v>
      </c>
      <c r="I112" s="72">
        <f>IF(A112&lt;=Eingabe!$D$22,(+Eingabe!$D$68)*(1+Eingabe!$J$68)^D112,"")</f>
        <v>0</v>
      </c>
      <c r="J112" s="75">
        <f>IF(B112&lt;=Eingabe!$D$22,(Eingabe!$L$19)*(1+Eingabe!$J$68)^D112,"")</f>
        <v>8249.6440711865853</v>
      </c>
      <c r="K112" s="81">
        <f>IF(D112&lt;=Eingabe!$D$22,IF(D112=Eingabe!$D$53,(Eingabe!$L$52*Eingabe!$I$52)*(1+Eingabe!$J$52)^Ergebnis!D112,IF(D112=Eingabe!$D$54,(Eingabe!$L$53*Eingabe!$I$53)*(1+Eingabe!$J$53)^Ergebnis!D112,IF(D112=Eingabe!$D$55,(Eingabe!$L$54*Eingabe!$I$54)*(1+Eingabe!$J$54)^Ergebnis!D112,IF(D112=Eingabe!$D$56,(Eingabe!$L$55*Eingabe!$I$55)*(1+Eingabe!$J$55)^Ergebnis!D112,0)))),"")</f>
        <v>0</v>
      </c>
      <c r="L112" s="58">
        <f>IF(A112&lt;=Eingabe!$D$22,SUM(E112:K112),"")</f>
        <v>6512.7640084389614</v>
      </c>
      <c r="M112" s="62">
        <f>IF(A112&lt;=Eingabe!$D$22,L112/(1+Eingabe!$D$23)^D112,"")</f>
        <v>1856.5150923697613</v>
      </c>
      <c r="N112" s="62">
        <f>IF(A112&lt;=Eingabe!$D$22,N111+M112,"")</f>
        <v>-20092.709005906501</v>
      </c>
    </row>
    <row r="113" spans="1:14" x14ac:dyDescent="0.25">
      <c r="A113" s="39">
        <v>33</v>
      </c>
      <c r="C113" s="61">
        <f>IF(A113&lt;=Eingabe!$D$22,C112+1,"")</f>
        <v>2051</v>
      </c>
      <c r="D113" s="57">
        <f>IF(A113&lt;=Eingabe!$D$22,D112+1,"")</f>
        <v>33</v>
      </c>
      <c r="E113" s="80">
        <f>IF(A113&lt;=Eingabe!$D$22,IF(D113=Eingabe!$D$53,-Eingabe!$L$53*(1+Eingabe!$J$52)^D113,IF(D113=Eingabe!$D$54,-Eingabe!$L$54*(1+Eingabe!$J$53)^D113,IF(D113=Eingabe!$D$55,-Eingabe!$L$55*(1+Eingabe!$J$54)^D113,0))),"")</f>
        <v>0</v>
      </c>
      <c r="F113" s="63">
        <f>IF(A113&lt;=Eingabe!$D$22,IF(D113=Eingabe!$D$59,-(Eingabe!$L$58+Eingabe!$L$59)*(1+Eingabe!$J$57)^D113,-(Eingabe!$L$58)*(1+Eingabe!$J$57)^D113),"")</f>
        <v>0</v>
      </c>
      <c r="G113" s="65">
        <f>IF(A113&lt;=Eingabe!$D$22,G112*(1+Eingabe!$J$59),"")</f>
        <v>0</v>
      </c>
      <c r="H113" s="65">
        <f>IF(A113&lt;=Eingabe!$D$22,(-Eingabe!$L$62*(1+Eingabe!$J$62)^Ergebnis!D113)-(Eingabe!$L$63*(1+Eingabe!$J$63)^Ergebnis!D113)-(Eingabe!$L$64*(1+Eingabe!$J$64)^Ergebnis!D113),"")</f>
        <v>-1754.2488633751</v>
      </c>
      <c r="I113" s="72">
        <f>IF(A113&lt;=Eingabe!$D$22,(+Eingabe!$D$68)*(1+Eingabe!$J$68)^D113,"")</f>
        <v>0</v>
      </c>
      <c r="J113" s="75">
        <f>IF(B113&lt;=Eingabe!$D$22,(Eingabe!$L$19)*(1+Eingabe!$J$68)^D113,"")</f>
        <v>8332.1405118984512</v>
      </c>
      <c r="K113" s="81">
        <f>IF(D113&lt;=Eingabe!$D$22,IF(D113=Eingabe!$D$53,(Eingabe!$L$52*Eingabe!$I$52)*(1+Eingabe!$J$52)^Ergebnis!D113,IF(D113=Eingabe!$D$54,(Eingabe!$L$53*Eingabe!$I$53)*(1+Eingabe!$J$53)^Ergebnis!D113,IF(D113=Eingabe!$D$55,(Eingabe!$L$54*Eingabe!$I$54)*(1+Eingabe!$J$54)^Ergebnis!D113,IF(D113=Eingabe!$D$56,(Eingabe!$L$55*Eingabe!$I$55)*(1+Eingabe!$J$55)^Ergebnis!D113,0)))),"")</f>
        <v>0</v>
      </c>
      <c r="L113" s="58">
        <f>IF(A113&lt;=Eingabe!$D$22,SUM(E113:K113),"")</f>
        <v>6577.8916485233513</v>
      </c>
      <c r="M113" s="62">
        <f>IF(A113&lt;=Eingabe!$D$22,L113/(1+Eingabe!$D$23)^D113,"")</f>
        <v>1802.9617723975568</v>
      </c>
      <c r="N113" s="62">
        <f>IF(A113&lt;=Eingabe!$D$22,N112+M113,"")</f>
        <v>-18289.747233508944</v>
      </c>
    </row>
    <row r="114" spans="1:14" x14ac:dyDescent="0.25">
      <c r="A114" s="39">
        <v>34</v>
      </c>
      <c r="C114" s="61">
        <f>IF(A114&lt;=Eingabe!$D$22,C113+1,"")</f>
        <v>2052</v>
      </c>
      <c r="D114" s="57">
        <f>IF(A114&lt;=Eingabe!$D$22,D113+1,"")</f>
        <v>34</v>
      </c>
      <c r="E114" s="80">
        <f>IF(A114&lt;=Eingabe!$D$22,IF(D114=Eingabe!$D$53,-Eingabe!$L$53*(1+Eingabe!$J$52)^D114,IF(D114=Eingabe!$D$54,-Eingabe!$L$54*(1+Eingabe!$J$53)^D114,IF(D114=Eingabe!$D$55,-Eingabe!$L$55*(1+Eingabe!$J$54)^D114,0))),"")</f>
        <v>0</v>
      </c>
      <c r="F114" s="63">
        <f>IF(A114&lt;=Eingabe!$D$22,IF(D114=Eingabe!$D$59,-(Eingabe!$L$58+Eingabe!$L$59)*(1+Eingabe!$J$57)^D114,-(Eingabe!$L$58)*(1+Eingabe!$J$57)^D114),"")</f>
        <v>0</v>
      </c>
      <c r="G114" s="65">
        <f>IF(A114&lt;=Eingabe!$D$22,G113*(1+Eingabe!$J$59),"")</f>
        <v>0</v>
      </c>
      <c r="H114" s="65">
        <f>IF(A114&lt;=Eingabe!$D$22,(-Eingabe!$L$62*(1+Eingabe!$J$62)^Ergebnis!D114)-(Eingabe!$L$63*(1+Eingabe!$J$63)^Ergebnis!D114)-(Eingabe!$L$64*(1+Eingabe!$J$64)^Ergebnis!D114),"")</f>
        <v>-1771.7913520088509</v>
      </c>
      <c r="I114" s="72">
        <f>IF(A114&lt;=Eingabe!$D$22,(+Eingabe!$D$68)*(1+Eingabe!$J$68)^D114,"")</f>
        <v>0</v>
      </c>
      <c r="J114" s="75">
        <f>IF(B114&lt;=Eingabe!$D$22,(Eingabe!$L$19)*(1+Eingabe!$J$68)^D114,"")</f>
        <v>8415.4619170174356</v>
      </c>
      <c r="K114" s="81">
        <f>IF(D114&lt;=Eingabe!$D$22,IF(D114=Eingabe!$D$53,(Eingabe!$L$52*Eingabe!$I$52)*(1+Eingabe!$J$52)^Ergebnis!D114,IF(D114=Eingabe!$D$54,(Eingabe!$L$53*Eingabe!$I$53)*(1+Eingabe!$J$53)^Ergebnis!D114,IF(D114=Eingabe!$D$55,(Eingabe!$L$54*Eingabe!$I$54)*(1+Eingabe!$J$54)^Ergebnis!D114,IF(D114=Eingabe!$D$56,(Eingabe!$L$55*Eingabe!$I$55)*(1+Eingabe!$J$55)^Ergebnis!D114,0)))),"")</f>
        <v>0</v>
      </c>
      <c r="L114" s="58">
        <f>IF(A114&lt;=Eingabe!$D$22,SUM(E114:K114),"")</f>
        <v>6643.6705650085842</v>
      </c>
      <c r="M114" s="62">
        <f>IF(A114&lt;=Eingabe!$D$22,L114/(1+Eingabe!$D$23)^D114,"")</f>
        <v>1750.9532597322423</v>
      </c>
      <c r="N114" s="62">
        <f>IF(A114&lt;=Eingabe!$D$22,N113+M114,"")</f>
        <v>-16538.793973776701</v>
      </c>
    </row>
    <row r="115" spans="1:14" x14ac:dyDescent="0.25">
      <c r="A115" s="39">
        <v>35</v>
      </c>
      <c r="C115" s="61">
        <f>IF(A115&lt;=Eingabe!$D$22,C114+1,"")</f>
        <v>2053</v>
      </c>
      <c r="D115" s="57">
        <f>IF(A115&lt;=Eingabe!$D$22,D114+1,"")</f>
        <v>35</v>
      </c>
      <c r="E115" s="80">
        <f>IF(A115&lt;=Eingabe!$D$22,IF(D115=Eingabe!$D$53,-Eingabe!$L$53*(1+Eingabe!$J$52)^D115,IF(D115=Eingabe!$D$54,-Eingabe!$L$54*(1+Eingabe!$J$53)^D115,IF(D115=Eingabe!$D$55,-Eingabe!$L$55*(1+Eingabe!$J$54)^D115,0))),"")</f>
        <v>0</v>
      </c>
      <c r="F115" s="63">
        <f>IF(A115&lt;=Eingabe!$D$22,IF(D115=Eingabe!$D$59,-(Eingabe!$L$58+Eingabe!$L$59)*(1+Eingabe!$J$57)^D115,-(Eingabe!$L$58)*(1+Eingabe!$J$57)^D115),"")</f>
        <v>0</v>
      </c>
      <c r="G115" s="65">
        <f>IF(A115&lt;=Eingabe!$D$22,G114*(1+Eingabe!$J$59),"")</f>
        <v>0</v>
      </c>
      <c r="H115" s="65">
        <f>IF(A115&lt;=Eingabe!$D$22,(-Eingabe!$L$62*(1+Eingabe!$J$62)^Ergebnis!D115)-(Eingabe!$L$63*(1+Eingabe!$J$63)^Ergebnis!D115)-(Eingabe!$L$64*(1+Eingabe!$J$64)^Ergebnis!D115),"")</f>
        <v>-1789.5092655289393</v>
      </c>
      <c r="I115" s="72">
        <f>IF(A115&lt;=Eingabe!$D$22,(+Eingabe!$D$68)*(1+Eingabe!$J$68)^D115,"")</f>
        <v>0</v>
      </c>
      <c r="J115" s="75">
        <f>IF(B115&lt;=Eingabe!$D$22,(Eingabe!$L$19)*(1+Eingabe!$J$68)^D115,"")</f>
        <v>8499.6165361876083</v>
      </c>
      <c r="K115" s="81">
        <f>IF(D115&lt;=Eingabe!$D$22,IF(D115=Eingabe!$D$53,(Eingabe!$L$52*Eingabe!$I$52)*(1+Eingabe!$J$52)^Ergebnis!D115,IF(D115=Eingabe!$D$54,(Eingabe!$L$53*Eingabe!$I$53)*(1+Eingabe!$J$53)^Ergebnis!D115,IF(D115=Eingabe!$D$55,(Eingabe!$L$54*Eingabe!$I$54)*(1+Eingabe!$J$54)^Ergebnis!D115,IF(D115=Eingabe!$D$56,(Eingabe!$L$55*Eingabe!$I$55)*(1+Eingabe!$J$55)^Ergebnis!D115,0)))),"")</f>
        <v>0</v>
      </c>
      <c r="L115" s="58">
        <f>IF(A115&lt;=Eingabe!$D$22,SUM(E115:K115),"")</f>
        <v>6710.1072706586692</v>
      </c>
      <c r="M115" s="62">
        <f>IF(A115&lt;=Eingabe!$D$22,L115/(1+Eingabe!$D$23)^D115,"")</f>
        <v>1700.4449926245811</v>
      </c>
      <c r="N115" s="62">
        <f>IF(A115&lt;=Eingabe!$D$22,N114+M115,"")</f>
        <v>-14838.348981152119</v>
      </c>
    </row>
    <row r="116" spans="1:14" x14ac:dyDescent="0.25">
      <c r="A116" s="39">
        <v>36</v>
      </c>
      <c r="C116" s="61">
        <f>IF(A116&lt;=Eingabe!$D$22,C115+1,"")</f>
        <v>2054</v>
      </c>
      <c r="D116" s="57">
        <f>IF(A116&lt;=Eingabe!$D$22,D115+1,"")</f>
        <v>36</v>
      </c>
      <c r="E116" s="80">
        <f>IF(A116&lt;=Eingabe!$D$22,IF(D116=Eingabe!$D$53,-Eingabe!$L$53*(1+Eingabe!$J$52)^D116,IF(D116=Eingabe!$D$54,-Eingabe!$L$54*(1+Eingabe!$J$53)^D116,IF(D116=Eingabe!$D$55,-Eingabe!$L$55*(1+Eingabe!$J$54)^D116,0))),"")</f>
        <v>0</v>
      </c>
      <c r="F116" s="63">
        <f>IF(A116&lt;=Eingabe!$D$22,IF(D116=Eingabe!$D$59,-(Eingabe!$L$58+Eingabe!$L$59)*(1+Eingabe!$J$57)^D116,-(Eingabe!$L$58)*(1+Eingabe!$J$57)^D116),"")</f>
        <v>0</v>
      </c>
      <c r="G116" s="65">
        <f>IF(A116&lt;=Eingabe!$D$22,G115*(1+Eingabe!$J$59),"")</f>
        <v>0</v>
      </c>
      <c r="H116" s="65">
        <f>IF(A116&lt;=Eingabe!$D$22,(-Eingabe!$L$62*(1+Eingabe!$J$62)^Ergebnis!D116)-(Eingabe!$L$63*(1+Eingabe!$J$63)^Ergebnis!D116)-(Eingabe!$L$64*(1+Eingabe!$J$64)^Ergebnis!D116),"")</f>
        <v>-1807.4043581842288</v>
      </c>
      <c r="I116" s="72">
        <f>IF(A116&lt;=Eingabe!$D$22,(+Eingabe!$D$68)*(1+Eingabe!$J$68)^D116,"")</f>
        <v>0</v>
      </c>
      <c r="J116" s="75">
        <f>IF(B116&lt;=Eingabe!$D$22,(Eingabe!$L$19)*(1+Eingabe!$J$68)^D116,"")</f>
        <v>8584.6127015494858</v>
      </c>
      <c r="K116" s="81">
        <f>IF(D116&lt;=Eingabe!$D$22,IF(D116=Eingabe!$D$53,(Eingabe!$L$52*Eingabe!$I$52)*(1+Eingabe!$J$52)^Ergebnis!D116,IF(D116=Eingabe!$D$54,(Eingabe!$L$53*Eingabe!$I$53)*(1+Eingabe!$J$53)^Ergebnis!D116,IF(D116=Eingabe!$D$55,(Eingabe!$L$54*Eingabe!$I$54)*(1+Eingabe!$J$54)^Ergebnis!D116,IF(D116=Eingabe!$D$56,(Eingabe!$L$55*Eingabe!$I$55)*(1+Eingabe!$J$55)^Ergebnis!D116,0)))),"")</f>
        <v>0</v>
      </c>
      <c r="L116" s="58">
        <f>IF(A116&lt;=Eingabe!$D$22,SUM(E116:K116),"")</f>
        <v>6777.208343365257</v>
      </c>
      <c r="M116" s="62">
        <f>IF(A116&lt;=Eingabe!$D$22,L116/(1+Eingabe!$D$23)^D116,"")</f>
        <v>1651.3936947604109</v>
      </c>
      <c r="N116" s="62">
        <f>IF(A116&lt;=Eingabe!$D$22,N115+M116,"")</f>
        <v>-13186.955286391709</v>
      </c>
    </row>
    <row r="117" spans="1:14" x14ac:dyDescent="0.25">
      <c r="A117" s="39">
        <v>37</v>
      </c>
      <c r="C117" s="61">
        <f>IF(A117&lt;=Eingabe!$D$22,C116+1,"")</f>
        <v>2055</v>
      </c>
      <c r="D117" s="57">
        <f>IF(A117&lt;=Eingabe!$D$22,D116+1,"")</f>
        <v>37</v>
      </c>
      <c r="E117" s="80">
        <f>IF(A117&lt;=Eingabe!$D$22,IF(D117=Eingabe!$D$53,-Eingabe!$L$53*(1+Eingabe!$J$52)^D117,IF(D117=Eingabe!$D$54,-Eingabe!$L$54*(1+Eingabe!$J$53)^D117,IF(D117=Eingabe!$D$55,-Eingabe!$L$55*(1+Eingabe!$J$54)^D117,0))),"")</f>
        <v>0</v>
      </c>
      <c r="F117" s="63">
        <f>IF(A117&lt;=Eingabe!$D$22,IF(D117=Eingabe!$D$59,-(Eingabe!$L$58+Eingabe!$L$59)*(1+Eingabe!$J$57)^D117,-(Eingabe!$L$58)*(1+Eingabe!$J$57)^D117),"")</f>
        <v>0</v>
      </c>
      <c r="G117" s="65">
        <f>IF(A117&lt;=Eingabe!$D$22,G116*(1+Eingabe!$J$59),"")</f>
        <v>0</v>
      </c>
      <c r="H117" s="65">
        <f>IF(A117&lt;=Eingabe!$D$22,(-Eingabe!$L$62*(1+Eingabe!$J$62)^Ergebnis!D117)-(Eingabe!$L$63*(1+Eingabe!$J$63)^Ergebnis!D117)-(Eingabe!$L$64*(1+Eingabe!$J$64)^Ergebnis!D117),"")</f>
        <v>-1825.4784017660711</v>
      </c>
      <c r="I117" s="72">
        <f>IF(A117&lt;=Eingabe!$D$22,(+Eingabe!$D$68)*(1+Eingabe!$J$68)^D117,"")</f>
        <v>0</v>
      </c>
      <c r="J117" s="75">
        <f>IF(B117&lt;=Eingabe!$D$22,(Eingabe!$L$19)*(1+Eingabe!$J$68)^D117,"")</f>
        <v>8670.4588285649806</v>
      </c>
      <c r="K117" s="81">
        <f>IF(D117&lt;=Eingabe!$D$22,IF(D117=Eingabe!$D$53,(Eingabe!$L$52*Eingabe!$I$52)*(1+Eingabe!$J$52)^Ergebnis!D117,IF(D117=Eingabe!$D$54,(Eingabe!$L$53*Eingabe!$I$53)*(1+Eingabe!$J$53)^Ergebnis!D117,IF(D117=Eingabe!$D$55,(Eingabe!$L$54*Eingabe!$I$54)*(1+Eingabe!$J$54)^Ergebnis!D117,IF(D117=Eingabe!$D$56,(Eingabe!$L$55*Eingabe!$I$55)*(1+Eingabe!$J$55)^Ergebnis!D117,0)))),"")</f>
        <v>0</v>
      </c>
      <c r="L117" s="58">
        <f>IF(A117&lt;=Eingabe!$D$22,SUM(E117:K117),"")</f>
        <v>6844.9804267989093</v>
      </c>
      <c r="M117" s="62">
        <f>IF(A117&lt;=Eingabe!$D$22,L117/(1+Eingabe!$D$23)^D117,"")</f>
        <v>1603.7573381807831</v>
      </c>
      <c r="N117" s="62">
        <f>IF(A117&lt;=Eingabe!$D$22,N116+M117,"")</f>
        <v>-11583.197948210925</v>
      </c>
    </row>
    <row r="118" spans="1:14" x14ac:dyDescent="0.25">
      <c r="A118" s="39">
        <v>38</v>
      </c>
      <c r="C118" s="61">
        <f>IF(A118&lt;=Eingabe!$D$22,C117+1,"")</f>
        <v>2056</v>
      </c>
      <c r="D118" s="57">
        <f>IF(A118&lt;=Eingabe!$D$22,D117+1,"")</f>
        <v>38</v>
      </c>
      <c r="E118" s="80">
        <f>IF(A118&lt;=Eingabe!$D$22,IF(D118=Eingabe!$D$53,-Eingabe!$L$53*(1+Eingabe!$J$52)^D118,IF(D118=Eingabe!$D$54,-Eingabe!$L$54*(1+Eingabe!$J$53)^D118,IF(D118=Eingabe!$D$55,-Eingabe!$L$55*(1+Eingabe!$J$54)^D118,0))),"")</f>
        <v>0</v>
      </c>
      <c r="F118" s="63">
        <f>IF(A118&lt;=Eingabe!$D$22,IF(D118=Eingabe!$D$59,-(Eingabe!$L$58+Eingabe!$L$59)*(1+Eingabe!$J$57)^D118,-(Eingabe!$L$58)*(1+Eingabe!$J$57)^D118),"")</f>
        <v>0</v>
      </c>
      <c r="G118" s="65">
        <f>IF(A118&lt;=Eingabe!$D$22,G117*(1+Eingabe!$J$59),"")</f>
        <v>0</v>
      </c>
      <c r="H118" s="65">
        <f>IF(A118&lt;=Eingabe!$D$22,(-Eingabe!$L$62*(1+Eingabe!$J$62)^Ergebnis!D118)-(Eingabe!$L$63*(1+Eingabe!$J$63)^Ergebnis!D118)-(Eingabe!$L$64*(1+Eingabe!$J$64)^Ergebnis!D118),"")</f>
        <v>-1843.7331857837321</v>
      </c>
      <c r="I118" s="72">
        <f>IF(A118&lt;=Eingabe!$D$22,(+Eingabe!$D$68)*(1+Eingabe!$J$68)^D118,"")</f>
        <v>0</v>
      </c>
      <c r="J118" s="75">
        <f>IF(B118&lt;=Eingabe!$D$22,(Eingabe!$L$19)*(1+Eingabe!$J$68)^D118,"")</f>
        <v>8757.1634168506316</v>
      </c>
      <c r="K118" s="81">
        <f>IF(D118&lt;=Eingabe!$D$22,IF(D118=Eingabe!$D$53,(Eingabe!$L$52*Eingabe!$I$52)*(1+Eingabe!$J$52)^Ergebnis!D118,IF(D118=Eingabe!$D$54,(Eingabe!$L$53*Eingabe!$I$53)*(1+Eingabe!$J$53)^Ergebnis!D118,IF(D118=Eingabe!$D$55,(Eingabe!$L$54*Eingabe!$I$54)*(1+Eingabe!$J$54)^Ergebnis!D118,IF(D118=Eingabe!$D$56,(Eingabe!$L$55*Eingabe!$I$55)*(1+Eingabe!$J$55)^Ergebnis!D118,0)))),"")</f>
        <v>0</v>
      </c>
      <c r="L118" s="58">
        <f>IF(A118&lt;=Eingabe!$D$22,SUM(E118:K118),"")</f>
        <v>6913.4302310668991</v>
      </c>
      <c r="M118" s="62">
        <f>IF(A118&lt;=Eingabe!$D$22,L118/(1+Eingabe!$D$23)^D118,"")</f>
        <v>1557.4951072717224</v>
      </c>
      <c r="N118" s="62">
        <f>IF(A118&lt;=Eingabe!$D$22,N117+M118,"")</f>
        <v>-10025.702840939202</v>
      </c>
    </row>
    <row r="119" spans="1:14" x14ac:dyDescent="0.25">
      <c r="A119" s="39">
        <v>39</v>
      </c>
      <c r="C119" s="61">
        <f>IF(A119&lt;=Eingabe!$D$22,C118+1,"")</f>
        <v>2057</v>
      </c>
      <c r="D119" s="57">
        <f>IF(A119&lt;=Eingabe!$D$22,D118+1,"")</f>
        <v>39</v>
      </c>
      <c r="E119" s="80">
        <f>IF(A119&lt;=Eingabe!$D$22,IF(D119=Eingabe!$D$53,-Eingabe!$L$53*(1+Eingabe!$J$52)^D119,IF(D119=Eingabe!$D$54,-Eingabe!$L$54*(1+Eingabe!$J$53)^D119,IF(D119=Eingabe!$D$55,-Eingabe!$L$55*(1+Eingabe!$J$54)^D119,0))),"")</f>
        <v>0</v>
      </c>
      <c r="F119" s="63">
        <f>IF(A119&lt;=Eingabe!$D$22,IF(D119=Eingabe!$D$59,-(Eingabe!$L$58+Eingabe!$L$59)*(1+Eingabe!$J$57)^D119,-(Eingabe!$L$58)*(1+Eingabe!$J$57)^D119),"")</f>
        <v>0</v>
      </c>
      <c r="G119" s="65">
        <f>IF(A119&lt;=Eingabe!$D$22,G118*(1+Eingabe!$J$59),"")</f>
        <v>0</v>
      </c>
      <c r="H119" s="65">
        <f>IF(A119&lt;=Eingabe!$D$22,(-Eingabe!$L$62*(1+Eingabe!$J$62)^Ergebnis!D119)-(Eingabe!$L$63*(1+Eingabe!$J$63)^Ergebnis!D119)-(Eingabe!$L$64*(1+Eingabe!$J$64)^Ergebnis!D119),"")</f>
        <v>-1862.1705176415687</v>
      </c>
      <c r="I119" s="72">
        <f>IF(A119&lt;=Eingabe!$D$22,(+Eingabe!$D$68)*(1+Eingabe!$J$68)^D119,"")</f>
        <v>0</v>
      </c>
      <c r="J119" s="75">
        <f>IF(B119&lt;=Eingabe!$D$22,(Eingabe!$L$19)*(1+Eingabe!$J$68)^D119,"")</f>
        <v>8844.7350510191354</v>
      </c>
      <c r="K119" s="81">
        <f>IF(D119&lt;=Eingabe!$D$22,IF(D119=Eingabe!$D$53,(Eingabe!$L$52*Eingabe!$I$52)*(1+Eingabe!$J$52)^Ergebnis!D119,IF(D119=Eingabe!$D$54,(Eingabe!$L$53*Eingabe!$I$53)*(1+Eingabe!$J$53)^Ergebnis!D119,IF(D119=Eingabe!$D$55,(Eingabe!$L$54*Eingabe!$I$54)*(1+Eingabe!$J$54)^Ergebnis!D119,IF(D119=Eingabe!$D$56,(Eingabe!$L$55*Eingabe!$I$55)*(1+Eingabe!$J$55)^Ergebnis!D119,0)))),"")</f>
        <v>0</v>
      </c>
      <c r="L119" s="58">
        <f>IF(A119&lt;=Eingabe!$D$22,SUM(E119:K119),"")</f>
        <v>6982.5645333775665</v>
      </c>
      <c r="M119" s="62">
        <f>IF(A119&lt;=Eingabe!$D$22,L119/(1+Eingabe!$D$23)^D119,"")</f>
        <v>1512.5673637927302</v>
      </c>
      <c r="N119" s="62">
        <f>IF(A119&lt;=Eingabe!$D$22,N118+M119,"")</f>
        <v>-8513.1354771464721</v>
      </c>
    </row>
    <row r="120" spans="1:14" x14ac:dyDescent="0.25">
      <c r="A120" s="39">
        <v>40</v>
      </c>
      <c r="C120" s="61">
        <f>IF(A120&lt;=Eingabe!$D$22,C119+1,"")</f>
        <v>2058</v>
      </c>
      <c r="D120" s="57">
        <f>IF(A120&lt;=Eingabe!$D$22,D119+1,"")</f>
        <v>40</v>
      </c>
      <c r="E120" s="80">
        <f>IF(A120&lt;=Eingabe!$D$22,IF(D120=Eingabe!$D$53,-Eingabe!$L$53*(1+Eingabe!$J$52)^D120,IF(D120=Eingabe!$D$54,-Eingabe!$L$54*(1+Eingabe!$J$53)^D120,IF(D120=Eingabe!$D$55,-Eingabe!$L$55*(1+Eingabe!$J$54)^D120,0))),"")</f>
        <v>0</v>
      </c>
      <c r="F120" s="63">
        <f>IF(A120&lt;=Eingabe!$D$22,IF(D120=Eingabe!$D$59,-(Eingabe!$L$58+Eingabe!$L$59)*(1+Eingabe!$J$57)^D120,-(Eingabe!$L$58)*(1+Eingabe!$J$57)^D120),"")</f>
        <v>0</v>
      </c>
      <c r="G120" s="65">
        <f>IF(A120&lt;=Eingabe!$D$22,G119*(1+Eingabe!$J$59),"")</f>
        <v>0</v>
      </c>
      <c r="H120" s="65">
        <f>IF(A120&lt;=Eingabe!$D$22,(-Eingabe!$L$62*(1+Eingabe!$J$62)^Ergebnis!D120)-(Eingabe!$L$63*(1+Eingabe!$J$63)^Ergebnis!D120)-(Eingabe!$L$64*(1+Eingabe!$J$64)^Ergebnis!D120),"")</f>
        <v>-1880.792222817985</v>
      </c>
      <c r="I120" s="72">
        <f>IF(A120&lt;=Eingabe!$D$22,(+Eingabe!$D$68)*(1+Eingabe!$J$68)^D120,"")</f>
        <v>0</v>
      </c>
      <c r="J120" s="76">
        <f>IF(B120&lt;=Eingabe!$D$22,(Eingabe!$L$19)*(1+Eingabe!$J$68)^D120,"")</f>
        <v>8933.1824015293296</v>
      </c>
      <c r="K120" s="81">
        <f>IF(D120&lt;=Eingabe!$D$22,IF(D120=Eingabe!$D$53,(Eingabe!$L$52*Eingabe!$I$52)*(1+Eingabe!$J$52)^Ergebnis!D120,IF(D120=Eingabe!$D$54,(Eingabe!$L$53*Eingabe!$I$53)*(1+Eingabe!$J$53)^Ergebnis!D120,IF(D120=Eingabe!$D$55,(Eingabe!$L$54*Eingabe!$I$54)*(1+Eingabe!$J$54)^Ergebnis!D120,IF(D120=Eingabe!$D$56,(Eingabe!$L$55*Eingabe!$I$55)*(1+Eingabe!$J$55)^Ergebnis!D120,(Eingabe!$L$52*Eingabe!$I$52)*(1+Eingabe!$J$52)^Ergebnis!D120)))),"")</f>
        <v>2870.4515626993075</v>
      </c>
      <c r="L120" s="58">
        <f>IF(A120&lt;=Eingabe!$D$22,SUM(E120:K120),"")</f>
        <v>9922.8417414106516</v>
      </c>
      <c r="M120" s="62">
        <f>IF(A120&lt;=Eingabe!$D$22,L120/(1+Eingabe!$D$23)^D120,"")</f>
        <v>2066.8192266599785</v>
      </c>
      <c r="N120" s="62">
        <f>IF(A120&lt;=Eingabe!$D$22,N119+M120,"")</f>
        <v>-6446.316250486494</v>
      </c>
    </row>
    <row r="121" spans="1:14" x14ac:dyDescent="0.25">
      <c r="A121" s="25"/>
      <c r="C121" s="28"/>
      <c r="D121" s="28"/>
      <c r="E121" s="28"/>
      <c r="F121" s="28"/>
      <c r="G121" s="28"/>
      <c r="H121" s="28"/>
      <c r="I121" s="29">
        <f>SUM(I80:I120)</f>
        <v>0</v>
      </c>
      <c r="J121" s="74">
        <f>SUM(J80:J120)</f>
        <v>296191.42255446187</v>
      </c>
      <c r="K121" s="29"/>
      <c r="L121" s="30">
        <f>SUM(L80:L120)</f>
        <v>57729.566741005037</v>
      </c>
      <c r="M121" s="31">
        <f>SUM(M80:M120)</f>
        <v>-6446.316250486494</v>
      </c>
      <c r="N121" s="31">
        <f>SUM(N80:N120)</f>
        <v>-1083608.1217828423</v>
      </c>
    </row>
    <row r="122" spans="1:14" x14ac:dyDescent="0.25">
      <c r="A122" s="25"/>
      <c r="J122" s="73"/>
    </row>
    <row r="123" spans="1:14" x14ac:dyDescent="0.25">
      <c r="A123" s="25"/>
      <c r="K123" s="82"/>
    </row>
  </sheetData>
  <sheetProtection password="CA4B" sheet="1" objects="1" scenarios="1"/>
  <mergeCells count="2">
    <mergeCell ref="C78:N78"/>
    <mergeCell ref="C32:N32"/>
  </mergeCells>
  <pageMargins left="0.7" right="0.7" top="0.75" bottom="0.75" header="0.3" footer="0.3"/>
  <pageSetup paperSize="8" scale="67" fitToHeight="0" orientation="portrait" r:id="rId1"/>
  <headerFooter>
    <oddFooter>&amp;C&amp;F</oddFooter>
  </headerFooter>
  <rowBreaks count="1" manualBreakCount="1">
    <brk id="77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Eingabe</vt:lpstr>
      <vt:lpstr>Ergebnis</vt:lpstr>
      <vt:lpstr>Eingabe!Afdrukbereik</vt:lpstr>
      <vt:lpstr>Ergebnis!Afdrukbereik</vt:lpstr>
    </vt:vector>
  </TitlesOfParts>
  <Company>Hevo bv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1643801-0110 v0.2 - C2C Businesscase duurzame maatregelen BEVEILIGD - DUITS v4</dc:title>
  <dc:subject>C2C Businesscase duurzame maatregelen BEVEILIGD - DUITS v4</dc:subject>
  <dc:creator>Gemert, Martijn van (Hevo)</dc:creator>
  <cp:lastModifiedBy>Scherer, Johanna (Hevo)</cp:lastModifiedBy>
  <cp:lastPrinted>2019-05-13T19:30:17Z</cp:lastPrinted>
  <dcterms:created xsi:type="dcterms:W3CDTF">2012-10-01T07:40:06Z</dcterms:created>
  <dcterms:modified xsi:type="dcterms:W3CDTF">2019-10-17T07:48:53Z</dcterms:modified>
</cp:coreProperties>
</file>